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8f5b5d1dda2b0968/Documents/Barwick ^0 Stoford Parish Council/Accounts/Accounts 2024 2025/"/>
    </mc:Choice>
  </mc:AlternateContent>
  <xr:revisionPtr revIDLastSave="45" documentId="8_{C3940A1C-22E8-4451-9B6B-FE26692CD718}" xr6:coauthVersionLast="47" xr6:coauthVersionMax="47" xr10:uidLastSave="{9FC10B54-F2F6-40BC-A939-52228E340545}"/>
  <bookViews>
    <workbookView xWindow="-110" yWindow="-110" windowWidth="19420" windowHeight="11500" firstSheet="2" activeTab="2" xr2:uid="{EA1CC99A-2008-4F79-9EE4-DA34DEC9EA53}"/>
  </bookViews>
  <sheets>
    <sheet name="Precept request form 2024 25" sheetId="22" r:id="rId1"/>
    <sheet name="Budget 2023 24" sheetId="17" r:id="rId2"/>
    <sheet name="YTD Budget 2024 25" sheetId="16" r:id="rId3"/>
    <sheet name="Unity Trust Bank" sheetId="21" r:id="rId4"/>
    <sheet name="Natwest Expenses" sheetId="2" r:id="rId5"/>
    <sheet name="Natwest Income" sheetId="3" r:id="rId6"/>
    <sheet name="Payments List" sheetId="23" r:id="rId7"/>
    <sheet name="Bank Rec" sheetId="4" r:id="rId8"/>
    <sheet name="VAT Reclaim 1" sheetId="24" r:id="rId9"/>
    <sheet name="Asset Register" sheetId="15" r:id="rId10"/>
    <sheet name="Profit &amp; Loss" sheetId="11" r:id="rId11"/>
    <sheet name="Balance sheet" sheetId="12" r:id="rId12"/>
    <sheet name="Grants" sheetId="6" r:id="rId13"/>
    <sheet name="Reimbursement claim" sheetId="8" r:id="rId14"/>
  </sheets>
  <externalReferences>
    <externalReference r:id="rId15"/>
  </externalReferences>
  <definedNames>
    <definedName name="_xlnm.Print_Area" localSheetId="9">'Asset Register'!$A$1:$G$49</definedName>
    <definedName name="_xlnm.Print_Area" localSheetId="11">'Balance sheet'!$A$1:$I$35</definedName>
    <definedName name="_xlnm.Print_Area" localSheetId="7">'Bank Rec'!$A$1:$G$42</definedName>
    <definedName name="_xlnm.Print_Area" localSheetId="1">'Budget 2023 24'!$BU$3:$CA$25</definedName>
    <definedName name="_xlnm.Print_Area" localSheetId="4">'Natwest Expenses'!$A$1:$AR$142</definedName>
    <definedName name="_xlnm.Print_Area" localSheetId="5">'Natwest Income'!$A$1:$R$35</definedName>
    <definedName name="_xlnm.Print_Area" localSheetId="6">'Payments List'!$A$1:$H$9</definedName>
    <definedName name="_xlnm.Print_Area" localSheetId="0">'Precept request form 2024 25'!$A$1:$P$391</definedName>
    <definedName name="_xlnm.Print_Area" localSheetId="10">'Profit &amp; Loss'!$B$1:$J$57</definedName>
    <definedName name="_xlnm.Print_Area" localSheetId="13">'Reimbursement claim'!$B$4:$M$16</definedName>
    <definedName name="_xlnm.Print_Area" localSheetId="3">'Unity Trust Bank'!$A$1:$N$25</definedName>
    <definedName name="_xlnm.Print_Area" localSheetId="8">'VAT Reclaim 1'!$A$5:$V$33</definedName>
    <definedName name="_xlnm.Print_Area" localSheetId="2">'YTD Budget 2024 25'!$BY$3:$CD$33</definedName>
    <definedName name="_xlnm.Print_Titles" localSheetId="4">'Natwest Expenses'!$A:$A,'Natwest Expenses'!$4:$5</definedName>
    <definedName name="_xlnm.Print_Titles" localSheetId="2">'YTD Budget 2024 25'!$3:$3</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67" i="16" l="1"/>
  <c r="B33" i="12"/>
  <c r="H15" i="11"/>
  <c r="B21" i="12" l="1"/>
  <c r="B16" i="12"/>
  <c r="B25" i="12" s="1"/>
  <c r="H28" i="11"/>
  <c r="AF133" i="2"/>
  <c r="H52" i="11"/>
  <c r="H21" i="11"/>
  <c r="I33" i="24"/>
  <c r="G33" i="24"/>
  <c r="H33" i="24"/>
  <c r="J33" i="24"/>
  <c r="K33" i="24"/>
  <c r="L33" i="24"/>
  <c r="M33" i="24"/>
  <c r="N33" i="24"/>
  <c r="O33" i="24"/>
  <c r="P33" i="24"/>
  <c r="Q33" i="24"/>
  <c r="R33" i="24"/>
  <c r="S33" i="24"/>
  <c r="T33" i="24"/>
  <c r="U33" i="24"/>
  <c r="V33" i="24"/>
  <c r="BS10" i="16"/>
  <c r="BS13" i="16"/>
  <c r="BS14" i="16"/>
  <c r="BS16" i="16"/>
  <c r="BS18" i="16"/>
  <c r="BS19" i="16"/>
  <c r="BS21" i="16"/>
  <c r="BS22" i="16"/>
  <c r="BS23" i="16"/>
  <c r="BS24" i="16"/>
  <c r="BS33" i="16"/>
  <c r="BS34" i="16"/>
  <c r="BS35" i="16"/>
  <c r="BS36" i="16"/>
  <c r="BS37" i="16"/>
  <c r="BS38" i="16"/>
  <c r="BS39" i="16"/>
  <c r="BS40" i="16"/>
  <c r="BS41" i="16"/>
  <c r="BS42" i="16"/>
  <c r="BS43" i="16"/>
  <c r="BS44" i="16"/>
  <c r="BS45" i="16"/>
  <c r="BS46" i="16"/>
  <c r="BS47" i="16"/>
  <c r="BS48" i="16"/>
  <c r="BS49" i="16"/>
  <c r="BS51" i="16"/>
  <c r="BS52" i="16"/>
  <c r="BS53" i="16"/>
  <c r="BS54" i="16"/>
  <c r="BS57" i="16"/>
  <c r="BS58" i="16"/>
  <c r="BS60" i="16"/>
  <c r="BS61" i="16"/>
  <c r="BS62" i="16"/>
  <c r="BS63" i="16"/>
  <c r="BS64" i="16"/>
  <c r="BS65" i="16"/>
  <c r="BS8" i="16"/>
  <c r="BR67" i="16"/>
  <c r="BS67" i="16" s="1"/>
  <c r="BV50" i="16"/>
  <c r="I57" i="11" l="1"/>
  <c r="AQ132" i="2"/>
  <c r="J129" i="2"/>
  <c r="J130" i="2"/>
  <c r="J131" i="2"/>
  <c r="G158" i="2"/>
  <c r="F158" i="2"/>
  <c r="I122" i="2" l="1"/>
  <c r="H5" i="23"/>
  <c r="J113" i="2" l="1"/>
  <c r="I114" i="2"/>
  <c r="J114" i="2"/>
  <c r="J115" i="2"/>
  <c r="J116" i="2"/>
  <c r="J117" i="2"/>
  <c r="J118" i="2"/>
  <c r="S132" i="2"/>
  <c r="J119" i="2"/>
  <c r="J120" i="2"/>
  <c r="J121" i="2"/>
  <c r="J122" i="2"/>
  <c r="J123" i="2"/>
  <c r="J124" i="2"/>
  <c r="J125" i="2"/>
  <c r="E47" i="15"/>
  <c r="F47" i="15"/>
  <c r="J112" i="2" l="1"/>
  <c r="J126" i="2"/>
  <c r="J127" i="2"/>
  <c r="J128" i="2"/>
  <c r="J111" i="2"/>
  <c r="BT67" i="16" l="1"/>
  <c r="CC4" i="16" s="1"/>
  <c r="J100" i="2"/>
  <c r="J101" i="2"/>
  <c r="I102" i="2"/>
  <c r="J102" i="2"/>
  <c r="J103" i="2"/>
  <c r="J104" i="2"/>
  <c r="J105" i="2"/>
  <c r="J106" i="2"/>
  <c r="J107" i="2"/>
  <c r="J108" i="2"/>
  <c r="J109" i="2"/>
  <c r="AP132" i="2"/>
  <c r="AO132" i="2"/>
  <c r="AN132" i="2"/>
  <c r="AM132" i="2"/>
  <c r="AL132" i="2"/>
  <c r="AK132" i="2"/>
  <c r="AH132" i="2"/>
  <c r="AI132" i="2"/>
  <c r="AJ132" i="2"/>
  <c r="AG132" i="2"/>
  <c r="AF132" i="2"/>
  <c r="AE132" i="2"/>
  <c r="AD132" i="2"/>
  <c r="AC132" i="2"/>
  <c r="AB132" i="2"/>
  <c r="AA132" i="2"/>
  <c r="Z132" i="2"/>
  <c r="Y132" i="2"/>
  <c r="X132" i="2"/>
  <c r="W132" i="2"/>
  <c r="V132" i="2"/>
  <c r="U132" i="2"/>
  <c r="T132" i="2"/>
  <c r="R132" i="2"/>
  <c r="Q132" i="2"/>
  <c r="P132" i="2"/>
  <c r="O132" i="2"/>
  <c r="N132" i="2"/>
  <c r="M132" i="2"/>
  <c r="L132" i="2"/>
  <c r="K132" i="2"/>
  <c r="H132" i="2"/>
  <c r="J110" i="2" l="1"/>
  <c r="J98" i="2"/>
  <c r="J13" i="3"/>
  <c r="J14" i="3"/>
  <c r="J15" i="3" s="1"/>
  <c r="CC29" i="16" l="1"/>
  <c r="BQ23" i="16"/>
  <c r="BQ25" i="16"/>
  <c r="BQ26" i="16"/>
  <c r="BQ27" i="16"/>
  <c r="BQ28" i="16"/>
  <c r="BQ31" i="16"/>
  <c r="BQ34" i="16"/>
  <c r="BQ35" i="16"/>
  <c r="BQ36" i="16"/>
  <c r="BQ37" i="16"/>
  <c r="BQ38" i="16"/>
  <c r="BQ39" i="16"/>
  <c r="BQ40" i="16"/>
  <c r="BQ41" i="16"/>
  <c r="BQ47" i="16"/>
  <c r="BQ48" i="16"/>
  <c r="BQ49" i="16"/>
  <c r="BQ53" i="16"/>
  <c r="BQ54" i="16"/>
  <c r="BQ56" i="16"/>
  <c r="BQ57" i="16"/>
  <c r="BQ58" i="16"/>
  <c r="BQ59" i="16"/>
  <c r="BQ62" i="16"/>
  <c r="BQ63" i="16"/>
  <c r="BP42" i="16" l="1"/>
  <c r="BP22" i="16"/>
  <c r="BQ17" i="16" l="1"/>
  <c r="BQ20" i="16"/>
  <c r="BV45" i="16"/>
  <c r="BQ45" i="16" s="1"/>
  <c r="BP8" i="16"/>
  <c r="I139" i="2"/>
  <c r="J97" i="2"/>
  <c r="J99" i="2"/>
  <c r="J94" i="2"/>
  <c r="J95" i="2"/>
  <c r="J96" i="2"/>
  <c r="BV44" i="16"/>
  <c r="BQ44" i="16" s="1"/>
  <c r="I89" i="2"/>
  <c r="I84" i="2"/>
  <c r="J81" i="2"/>
  <c r="J82" i="2"/>
  <c r="J83" i="2"/>
  <c r="J84" i="2"/>
  <c r="J85" i="2"/>
  <c r="J86" i="2"/>
  <c r="J87" i="2"/>
  <c r="J88" i="2"/>
  <c r="J89" i="2"/>
  <c r="J90" i="2"/>
  <c r="J91" i="2"/>
  <c r="J92" i="2"/>
  <c r="J93" i="2"/>
  <c r="I74" i="2"/>
  <c r="K10" i="21"/>
  <c r="BP9" i="16" l="1"/>
  <c r="BP10" i="16"/>
  <c r="J43" i="2"/>
  <c r="BV8" i="16"/>
  <c r="BQ8" i="16" s="1"/>
  <c r="BV9" i="16"/>
  <c r="BQ9" i="16" s="1"/>
  <c r="BV10" i="16"/>
  <c r="BV14" i="16"/>
  <c r="BQ14" i="16" s="1"/>
  <c r="BV46" i="16"/>
  <c r="BQ46" i="16" s="1"/>
  <c r="BV13" i="16"/>
  <c r="BQ13" i="16" s="1"/>
  <c r="BV43" i="16"/>
  <c r="BQ43" i="16" s="1"/>
  <c r="BV16" i="16"/>
  <c r="BV18" i="16"/>
  <c r="BQ18" i="16" s="1"/>
  <c r="BV19" i="16"/>
  <c r="BV21" i="16"/>
  <c r="BV33" i="16"/>
  <c r="BQ33" i="16" s="1"/>
  <c r="BV42" i="16"/>
  <c r="BQ42" i="16" s="1"/>
  <c r="BV22" i="16"/>
  <c r="BQ22" i="16" s="1"/>
  <c r="BV55" i="16"/>
  <c r="BV24" i="16"/>
  <c r="BQ24" i="16" s="1"/>
  <c r="BV52" i="16"/>
  <c r="BV64" i="16"/>
  <c r="BV65" i="16"/>
  <c r="BV61" i="16"/>
  <c r="BQ61" i="16" s="1"/>
  <c r="J72" i="2"/>
  <c r="J73" i="2"/>
  <c r="J74" i="2"/>
  <c r="J75" i="2"/>
  <c r="J76" i="2"/>
  <c r="J77" i="2"/>
  <c r="J78" i="2"/>
  <c r="J79" i="2"/>
  <c r="J80" i="2"/>
  <c r="J71" i="2"/>
  <c r="I63" i="2"/>
  <c r="J58" i="2"/>
  <c r="J59" i="2"/>
  <c r="J60" i="2"/>
  <c r="J61" i="2"/>
  <c r="J62" i="2"/>
  <c r="J63" i="2"/>
  <c r="J64" i="2"/>
  <c r="J65" i="2"/>
  <c r="J66" i="2"/>
  <c r="J67" i="2"/>
  <c r="J68" i="2"/>
  <c r="J69" i="2"/>
  <c r="J70" i="2"/>
  <c r="J55" i="2"/>
  <c r="J56" i="2"/>
  <c r="J57" i="2"/>
  <c r="J54" i="2"/>
  <c r="I49" i="2"/>
  <c r="J44" i="2"/>
  <c r="J45" i="2"/>
  <c r="J46" i="2"/>
  <c r="J47" i="2"/>
  <c r="J48" i="2"/>
  <c r="J49" i="2"/>
  <c r="J50" i="2"/>
  <c r="J51" i="2"/>
  <c r="J52" i="2"/>
  <c r="J53" i="2"/>
  <c r="I45" i="2"/>
  <c r="J42" i="2"/>
  <c r="BQ10" i="16" l="1"/>
  <c r="BP16" i="16"/>
  <c r="BP65" i="16"/>
  <c r="BQ65" i="16" s="1"/>
  <c r="BP55" i="16"/>
  <c r="BQ55" i="16" s="1"/>
  <c r="BP64" i="16"/>
  <c r="BQ64" i="16" s="1"/>
  <c r="BP19" i="16"/>
  <c r="BQ19" i="16" s="1"/>
  <c r="BQ52" i="16"/>
  <c r="AJ136" i="2"/>
  <c r="L138" i="2"/>
  <c r="BV60" i="16"/>
  <c r="BQ60" i="16" s="1"/>
  <c r="BV51" i="16"/>
  <c r="M16" i="8"/>
  <c r="F6" i="8"/>
  <c r="F7" i="8"/>
  <c r="F8" i="8"/>
  <c r="F9" i="8"/>
  <c r="F10" i="8"/>
  <c r="F12" i="8"/>
  <c r="F13" i="8"/>
  <c r="F14" i="8"/>
  <c r="F15" i="8"/>
  <c r="F11" i="8"/>
  <c r="L16" i="8"/>
  <c r="BP51" i="16" l="1"/>
  <c r="BP67" i="16" s="1"/>
  <c r="CC31" i="16" s="1"/>
  <c r="BQ16" i="16"/>
  <c r="I31" i="2"/>
  <c r="J31" i="2"/>
  <c r="I38" i="2"/>
  <c r="J30" i="2"/>
  <c r="J25" i="2"/>
  <c r="J26" i="2"/>
  <c r="J27" i="2"/>
  <c r="J28" i="2"/>
  <c r="J29" i="2"/>
  <c r="J32" i="2"/>
  <c r="J33" i="2"/>
  <c r="J34" i="2"/>
  <c r="J35" i="2"/>
  <c r="J36" i="2"/>
  <c r="J37" i="2"/>
  <c r="J38" i="2"/>
  <c r="J39" i="2"/>
  <c r="J40" i="2"/>
  <c r="J41" i="2"/>
  <c r="J17" i="2"/>
  <c r="J18" i="2"/>
  <c r="I19" i="2"/>
  <c r="J19" i="2"/>
  <c r="J20" i="2"/>
  <c r="J21" i="2"/>
  <c r="J22" i="2"/>
  <c r="J23" i="2"/>
  <c r="F10" i="4"/>
  <c r="J3" i="21"/>
  <c r="BQ51" i="16" l="1"/>
  <c r="I9" i="2"/>
  <c r="I132" i="2" s="1"/>
  <c r="M28" i="3" s="1"/>
  <c r="J16" i="2"/>
  <c r="J24" i="2"/>
  <c r="BP56" i="17" l="1"/>
  <c r="Q22" i="3" l="1"/>
  <c r="C15" i="11" l="1"/>
  <c r="C21" i="11" s="1"/>
  <c r="G24" i="21"/>
  <c r="H33" i="12"/>
  <c r="H21" i="12"/>
  <c r="H16" i="12"/>
  <c r="H25" i="12" l="1"/>
  <c r="K14" i="21" l="1"/>
  <c r="K15" i="21"/>
  <c r="K16" i="21"/>
  <c r="K17" i="21"/>
  <c r="K18" i="21"/>
  <c r="K19" i="21"/>
  <c r="L20" i="21" l="1"/>
  <c r="M20" i="21"/>
  <c r="BV15" i="16" s="1"/>
  <c r="N20" i="21"/>
  <c r="H20" i="21"/>
  <c r="I140" i="2" s="1"/>
  <c r="I20" i="21"/>
  <c r="G20" i="21"/>
  <c r="BQ15" i="16" l="1"/>
  <c r="BV67" i="16"/>
  <c r="L139" i="2"/>
  <c r="E14" i="22"/>
  <c r="H13" i="22"/>
  <c r="H15" i="22" s="1"/>
  <c r="E13" i="22"/>
  <c r="E15" i="22" l="1"/>
  <c r="N15" i="22" s="1"/>
  <c r="K14" i="22"/>
  <c r="K13" i="22"/>
  <c r="N14" i="22"/>
  <c r="N13" i="22"/>
  <c r="K15" i="22" l="1"/>
  <c r="BN14" i="16"/>
  <c r="BN13" i="16"/>
  <c r="BB67" i="16" l="1"/>
  <c r="CA8" i="16"/>
  <c r="CB14" i="16" s="1"/>
  <c r="CB20" i="16"/>
  <c r="BN8" i="16"/>
  <c r="BJ8" i="16"/>
  <c r="BK8" i="16" s="1"/>
  <c r="BK17" i="16"/>
  <c r="BK18" i="16"/>
  <c r="BK19" i="16"/>
  <c r="BK21" i="16"/>
  <c r="BK24" i="16"/>
  <c r="BK27" i="16"/>
  <c r="BK28" i="16"/>
  <c r="BK31" i="16"/>
  <c r="BK33" i="16"/>
  <c r="BK34" i="16"/>
  <c r="BK35" i="16"/>
  <c r="BK36" i="16"/>
  <c r="BK37" i="16"/>
  <c r="BK38" i="16"/>
  <c r="BK39" i="16"/>
  <c r="BK40" i="16"/>
  <c r="BK41" i="16"/>
  <c r="BK43" i="16"/>
  <c r="BK44" i="16"/>
  <c r="BK45" i="16"/>
  <c r="BK46" i="16"/>
  <c r="BK47" i="16"/>
  <c r="BK48" i="16"/>
  <c r="BK49" i="16"/>
  <c r="BK52" i="16"/>
  <c r="BK53" i="16"/>
  <c r="BK54" i="16"/>
  <c r="BK55" i="16"/>
  <c r="BK56" i="16"/>
  <c r="BK57" i="16"/>
  <c r="BK59" i="16"/>
  <c r="BK60" i="16"/>
  <c r="BK61" i="16"/>
  <c r="BK62" i="16"/>
  <c r="BK63" i="16"/>
  <c r="BJ64" i="16"/>
  <c r="BK64" i="16" s="1"/>
  <c r="BJ51" i="16"/>
  <c r="BK51" i="16" s="1"/>
  <c r="BH16" i="16"/>
  <c r="BI16" i="16" s="1"/>
  <c r="BJ42" i="16"/>
  <c r="BK42" i="16" s="1"/>
  <c r="BJ22" i="16"/>
  <c r="BK22" i="16" s="1"/>
  <c r="BI33" i="16"/>
  <c r="BI34" i="16"/>
  <c r="BI35" i="16"/>
  <c r="BI36" i="16"/>
  <c r="BI37" i="16"/>
  <c r="BI38" i="16"/>
  <c r="BI39" i="16"/>
  <c r="BI40" i="16"/>
  <c r="BI41" i="16"/>
  <c r="BI42" i="16"/>
  <c r="BI43" i="16"/>
  <c r="BI44" i="16"/>
  <c r="BI45" i="16"/>
  <c r="BI46" i="16"/>
  <c r="BI47" i="16"/>
  <c r="BI48" i="16"/>
  <c r="BI49" i="16"/>
  <c r="BI51" i="16"/>
  <c r="BI52" i="16"/>
  <c r="BI53" i="16"/>
  <c r="BI54" i="16"/>
  <c r="BI56" i="16"/>
  <c r="BI57" i="16"/>
  <c r="BI60" i="16"/>
  <c r="BI61" i="16"/>
  <c r="BI62" i="16"/>
  <c r="BI63" i="16"/>
  <c r="BI22" i="16"/>
  <c r="BI24" i="16"/>
  <c r="BI21" i="16"/>
  <c r="BI18" i="16"/>
  <c r="BI19" i="16"/>
  <c r="BI10" i="16"/>
  <c r="BI8" i="16"/>
  <c r="BI5" i="16"/>
  <c r="BN10" i="16" l="1"/>
  <c r="BN67" i="16" s="1"/>
  <c r="BJ10" i="16"/>
  <c r="BK10" i="16" s="1"/>
  <c r="CC21" i="16"/>
  <c r="BK16" i="16"/>
  <c r="BJ67" i="16" l="1"/>
  <c r="BK67" i="16" s="1"/>
  <c r="K7" i="21" l="1"/>
  <c r="K8" i="21"/>
  <c r="K9" i="21"/>
  <c r="K11" i="21"/>
  <c r="K12" i="21"/>
  <c r="K13" i="21"/>
  <c r="K6" i="21"/>
  <c r="E17" i="4"/>
  <c r="E14" i="4"/>
  <c r="K20" i="21" l="1"/>
  <c r="F18" i="4"/>
  <c r="J7" i="2"/>
  <c r="J8" i="2"/>
  <c r="J9" i="2"/>
  <c r="J10" i="2"/>
  <c r="J11" i="2"/>
  <c r="J12" i="2"/>
  <c r="J13" i="2"/>
  <c r="J14" i="2"/>
  <c r="J15" i="2"/>
  <c r="BM18" i="16"/>
  <c r="J6" i="21"/>
  <c r="J7" i="21" s="1"/>
  <c r="J8" i="21" s="1"/>
  <c r="J9" i="21" s="1"/>
  <c r="J132" i="2" l="1"/>
  <c r="J10" i="21"/>
  <c r="J11" i="21" s="1"/>
  <c r="J12" i="21" s="1"/>
  <c r="J13" i="21" s="1"/>
  <c r="J14" i="21" s="1"/>
  <c r="J15" i="21" s="1"/>
  <c r="J16" i="21" s="1"/>
  <c r="J17" i="21" s="1"/>
  <c r="J18" i="21" s="1"/>
  <c r="J19" i="21" s="1"/>
  <c r="J20" i="21" s="1"/>
  <c r="C35" i="11"/>
  <c r="L136" i="2"/>
  <c r="CC28" i="16"/>
  <c r="CC33" i="16" s="1"/>
  <c r="CC24" i="16" s="1"/>
  <c r="CC22" i="16" s="1"/>
  <c r="L137" i="2"/>
  <c r="J24" i="21" l="1"/>
  <c r="M23" i="3"/>
  <c r="BM67" i="16"/>
  <c r="C52" i="11"/>
  <c r="D57" i="11" s="1"/>
  <c r="L140" i="2"/>
  <c r="L142" i="2" s="1"/>
  <c r="F37" i="4"/>
  <c r="F41" i="4" s="1"/>
  <c r="BM13" i="17" l="1"/>
  <c r="BM56" i="17" s="1"/>
  <c r="BG67" i="16" l="1"/>
  <c r="BI67" i="16" s="1"/>
  <c r="BN13" i="17"/>
  <c r="BN15" i="17"/>
  <c r="BN16" i="17"/>
  <c r="BN18" i="17"/>
  <c r="BN19" i="17"/>
  <c r="BN20" i="17"/>
  <c r="BN23" i="17"/>
  <c r="BN26" i="17"/>
  <c r="BN27" i="17"/>
  <c r="BN28" i="17"/>
  <c r="BN29" i="17"/>
  <c r="BN30" i="17"/>
  <c r="BN31" i="17"/>
  <c r="BN32" i="17"/>
  <c r="BN33" i="17"/>
  <c r="BN34" i="17"/>
  <c r="BN35" i="17"/>
  <c r="BN36" i="17"/>
  <c r="BN37" i="17"/>
  <c r="BN38" i="17"/>
  <c r="BN39" i="17"/>
  <c r="BN40" i="17"/>
  <c r="BN41" i="17"/>
  <c r="BN42" i="17"/>
  <c r="BN44" i="17"/>
  <c r="BN45" i="17"/>
  <c r="BN46" i="17"/>
  <c r="BN47" i="17"/>
  <c r="BN48" i="17"/>
  <c r="BN49" i="17"/>
  <c r="BN51" i="17"/>
  <c r="BN52" i="17"/>
  <c r="BN53" i="17"/>
  <c r="BN54" i="17"/>
  <c r="BN9" i="17"/>
  <c r="BN8" i="17"/>
  <c r="I35" i="3"/>
  <c r="BK39" i="17" l="1"/>
  <c r="BJ53" i="17"/>
  <c r="BJ54" i="17"/>
  <c r="BH44" i="17"/>
  <c r="BI44" i="17" s="1"/>
  <c r="BJ44" i="17" s="1"/>
  <c r="BH35" i="17"/>
  <c r="BI35" i="17" s="1"/>
  <c r="BJ35" i="17" s="1"/>
  <c r="BF20" i="17"/>
  <c r="BG20" i="17" s="1"/>
  <c r="BH13" i="17"/>
  <c r="BI13" i="17" s="1"/>
  <c r="BJ13" i="17" s="1"/>
  <c r="BI14" i="17"/>
  <c r="BI15" i="17"/>
  <c r="BJ15" i="17" s="1"/>
  <c r="BI16" i="17"/>
  <c r="BJ16" i="17" s="1"/>
  <c r="BI17" i="17"/>
  <c r="BI18" i="17"/>
  <c r="BJ18" i="17" s="1"/>
  <c r="BI19" i="17"/>
  <c r="BJ19" i="17" s="1"/>
  <c r="BI21" i="17"/>
  <c r="BI22" i="17"/>
  <c r="BI23" i="17"/>
  <c r="BJ23" i="17" s="1"/>
  <c r="BI24" i="17"/>
  <c r="BI25" i="17"/>
  <c r="BI26" i="17"/>
  <c r="BJ26" i="17" s="1"/>
  <c r="BI27" i="17"/>
  <c r="BJ27" i="17" s="1"/>
  <c r="BI28" i="17"/>
  <c r="BJ28" i="17" s="1"/>
  <c r="BI29" i="17"/>
  <c r="BJ29" i="17" s="1"/>
  <c r="BI30" i="17"/>
  <c r="BJ30" i="17" s="1"/>
  <c r="BI31" i="17"/>
  <c r="BJ31" i="17" s="1"/>
  <c r="BI32" i="17"/>
  <c r="BJ32" i="17" s="1"/>
  <c r="BI33" i="17"/>
  <c r="BJ33" i="17" s="1"/>
  <c r="BI34" i="17"/>
  <c r="BJ34" i="17" s="1"/>
  <c r="BI36" i="17"/>
  <c r="BJ36" i="17" s="1"/>
  <c r="BI37" i="17"/>
  <c r="BJ37" i="17" s="1"/>
  <c r="BI38" i="17"/>
  <c r="BJ38" i="17" s="1"/>
  <c r="BI39" i="17"/>
  <c r="BJ39" i="17" s="1"/>
  <c r="BI40" i="17"/>
  <c r="BJ40" i="17" s="1"/>
  <c r="BI41" i="17"/>
  <c r="BJ41" i="17" s="1"/>
  <c r="BI42" i="17"/>
  <c r="BJ42" i="17" s="1"/>
  <c r="BI45" i="17"/>
  <c r="BJ45" i="17" s="1"/>
  <c r="BI46" i="17"/>
  <c r="BJ46" i="17" s="1"/>
  <c r="BI47" i="17"/>
  <c r="BJ47" i="17" s="1"/>
  <c r="BI48" i="17"/>
  <c r="BJ48" i="17" s="1"/>
  <c r="BI49" i="17"/>
  <c r="BJ49" i="17" s="1"/>
  <c r="BI50" i="17"/>
  <c r="BI51" i="17"/>
  <c r="BJ51" i="17" s="1"/>
  <c r="BI52" i="17"/>
  <c r="BJ52" i="17" s="1"/>
  <c r="BH8" i="17"/>
  <c r="BX5" i="17"/>
  <c r="BY8" i="17" s="1"/>
  <c r="BO56" i="17"/>
  <c r="C82" i="17"/>
  <c r="C75" i="17"/>
  <c r="C76" i="17" s="1"/>
  <c r="AU60" i="17"/>
  <c r="BB56" i="17"/>
  <c r="BN56" i="17" s="1"/>
  <c r="AW56" i="17"/>
  <c r="AP56" i="17"/>
  <c r="AN56" i="17"/>
  <c r="AM56" i="17"/>
  <c r="AL56" i="17"/>
  <c r="AJ56" i="17"/>
  <c r="AE56" i="17"/>
  <c r="AC56" i="17"/>
  <c r="AA56" i="17"/>
  <c r="Z56" i="17"/>
  <c r="W56" i="17"/>
  <c r="U56" i="17"/>
  <c r="O56" i="17"/>
  <c r="M56" i="17"/>
  <c r="I56" i="17"/>
  <c r="H56" i="17"/>
  <c r="E56" i="17"/>
  <c r="C56" i="17"/>
  <c r="B56" i="17"/>
  <c r="AZ54" i="17"/>
  <c r="AZ53" i="17"/>
  <c r="AR53" i="17"/>
  <c r="AI53" i="17"/>
  <c r="AF53" i="17"/>
  <c r="AG53" i="17" s="1"/>
  <c r="AD53" i="17"/>
  <c r="AB53" i="17"/>
  <c r="Y53" i="17"/>
  <c r="AZ52" i="17"/>
  <c r="BA52" i="17" s="1"/>
  <c r="AX52" i="17"/>
  <c r="AS52" i="17"/>
  <c r="AR52" i="17"/>
  <c r="AI52" i="17"/>
  <c r="AF52" i="17"/>
  <c r="AG52" i="17" s="1"/>
  <c r="AD52" i="17"/>
  <c r="AB52" i="17"/>
  <c r="BG51" i="17"/>
  <c r="AZ51" i="17"/>
  <c r="BA51" i="17" s="1"/>
  <c r="AX51" i="17"/>
  <c r="AS51" i="17"/>
  <c r="AR51" i="17"/>
  <c r="AI51" i="17"/>
  <c r="AF51" i="17"/>
  <c r="AG51" i="17" s="1"/>
  <c r="AD51" i="17"/>
  <c r="AB51" i="17"/>
  <c r="X51" i="17"/>
  <c r="V51" i="17"/>
  <c r="P51" i="17"/>
  <c r="AZ50" i="17"/>
  <c r="AR50" i="17"/>
  <c r="AF50" i="17"/>
  <c r="L50" i="17"/>
  <c r="L56" i="17" s="1"/>
  <c r="AZ49" i="17"/>
  <c r="AR49" i="17"/>
  <c r="AF49" i="17"/>
  <c r="X49" i="17"/>
  <c r="V49" i="17"/>
  <c r="P49" i="17"/>
  <c r="BF48" i="17"/>
  <c r="BG48" i="17" s="1"/>
  <c r="AZ48" i="17"/>
  <c r="BA48" i="17" s="1"/>
  <c r="AX48" i="17"/>
  <c r="AS48" i="17"/>
  <c r="AR48" i="17"/>
  <c r="AI48" i="17"/>
  <c r="AF48" i="17"/>
  <c r="AG48" i="17" s="1"/>
  <c r="AD48" i="17"/>
  <c r="AB48" i="17"/>
  <c r="X48" i="17"/>
  <c r="V48" i="17"/>
  <c r="P48" i="17"/>
  <c r="AZ47" i="17"/>
  <c r="AR47" i="17"/>
  <c r="AF47" i="17"/>
  <c r="AZ46" i="17"/>
  <c r="AR46" i="17"/>
  <c r="AF46" i="17"/>
  <c r="X46" i="17"/>
  <c r="V46" i="17"/>
  <c r="P46" i="17"/>
  <c r="AZ45" i="17"/>
  <c r="BA45" i="17" s="1"/>
  <c r="AX45" i="17"/>
  <c r="AS45" i="17"/>
  <c r="AR45" i="17"/>
  <c r="AI45" i="17"/>
  <c r="AF45" i="17"/>
  <c r="AG45" i="17" s="1"/>
  <c r="AD45" i="17"/>
  <c r="AB45" i="17"/>
  <c r="X45" i="17"/>
  <c r="V45" i="17"/>
  <c r="P45" i="17"/>
  <c r="N45" i="17"/>
  <c r="G45" i="17"/>
  <c r="F45" i="17"/>
  <c r="D45" i="17"/>
  <c r="AZ44" i="17"/>
  <c r="BA44" i="17" s="1"/>
  <c r="AX44" i="17"/>
  <c r="AS44" i="17"/>
  <c r="AR44" i="17"/>
  <c r="AF44" i="17"/>
  <c r="AZ42" i="17"/>
  <c r="AS42" i="17"/>
  <c r="AR42" i="17"/>
  <c r="AI42" i="17"/>
  <c r="AF42" i="17"/>
  <c r="AG42" i="17" s="1"/>
  <c r="AD42" i="17"/>
  <c r="AB42" i="17"/>
  <c r="X42" i="17"/>
  <c r="V42" i="17"/>
  <c r="P42" i="17"/>
  <c r="K42" i="17"/>
  <c r="G42" i="17"/>
  <c r="F42" i="17"/>
  <c r="D42" i="17"/>
  <c r="AZ41" i="17"/>
  <c r="AR41" i="17"/>
  <c r="AF41" i="17"/>
  <c r="K41" i="17"/>
  <c r="G41" i="17"/>
  <c r="F41" i="17"/>
  <c r="D41" i="17"/>
  <c r="AZ40" i="17"/>
  <c r="AR40" i="17"/>
  <c r="AF40" i="17"/>
  <c r="BF39" i="17"/>
  <c r="BG39" i="17" s="1"/>
  <c r="AZ39" i="17"/>
  <c r="BA39" i="17" s="1"/>
  <c r="AX39" i="17"/>
  <c r="AS39" i="17"/>
  <c r="AR39" i="17"/>
  <c r="AI39" i="17"/>
  <c r="AF39" i="17"/>
  <c r="AG39" i="17" s="1"/>
  <c r="AD39" i="17"/>
  <c r="AB39" i="17"/>
  <c r="BF38" i="17"/>
  <c r="BG38" i="17" s="1"/>
  <c r="AZ38" i="17"/>
  <c r="BA38" i="17" s="1"/>
  <c r="AX38" i="17"/>
  <c r="AS38" i="17"/>
  <c r="AR38" i="17"/>
  <c r="AI38" i="17"/>
  <c r="AF38" i="17"/>
  <c r="AG38" i="17" s="1"/>
  <c r="AD38" i="17"/>
  <c r="AB38" i="17"/>
  <c r="X38" i="17"/>
  <c r="V38" i="17"/>
  <c r="P38" i="17"/>
  <c r="K38" i="17"/>
  <c r="G38" i="17"/>
  <c r="F38" i="17"/>
  <c r="D38" i="17"/>
  <c r="BF37" i="17"/>
  <c r="BG37" i="17" s="1"/>
  <c r="AZ37" i="17"/>
  <c r="BA37" i="17" s="1"/>
  <c r="AX37" i="17"/>
  <c r="AS37" i="17"/>
  <c r="AR37" i="17"/>
  <c r="AI37" i="17"/>
  <c r="AF37" i="17"/>
  <c r="AG37" i="17" s="1"/>
  <c r="AD37" i="17"/>
  <c r="AB37" i="17"/>
  <c r="X37" i="17"/>
  <c r="V37" i="17"/>
  <c r="P37" i="17"/>
  <c r="N37" i="17"/>
  <c r="K37" i="17"/>
  <c r="G37" i="17"/>
  <c r="F37" i="17"/>
  <c r="D37" i="17"/>
  <c r="BG36" i="17"/>
  <c r="AZ36" i="17"/>
  <c r="BA36" i="17" s="1"/>
  <c r="AX36" i="17"/>
  <c r="AS36" i="17"/>
  <c r="AR36" i="17"/>
  <c r="AI36" i="17"/>
  <c r="AF36" i="17"/>
  <c r="AG36" i="17" s="1"/>
  <c r="AD36" i="17"/>
  <c r="AB36" i="17"/>
  <c r="X36" i="17"/>
  <c r="V36" i="17"/>
  <c r="P36" i="17"/>
  <c r="K36" i="17"/>
  <c r="G36" i="17"/>
  <c r="F36" i="17"/>
  <c r="D36" i="17"/>
  <c r="AY35" i="17"/>
  <c r="AZ35" i="17" s="1"/>
  <c r="BA35" i="17" s="1"/>
  <c r="AX35" i="17"/>
  <c r="AS35" i="17"/>
  <c r="AQ35" i="17"/>
  <c r="AR35" i="17" s="1"/>
  <c r="AI35" i="17"/>
  <c r="AF35" i="17"/>
  <c r="AG35" i="17" s="1"/>
  <c r="AD35" i="17"/>
  <c r="AB35" i="17"/>
  <c r="X35" i="17"/>
  <c r="V35" i="17"/>
  <c r="P35" i="17"/>
  <c r="N35" i="17"/>
  <c r="K35" i="17"/>
  <c r="G35" i="17"/>
  <c r="F35" i="17"/>
  <c r="D35" i="17"/>
  <c r="AZ34" i="17"/>
  <c r="AR34" i="17"/>
  <c r="AI34" i="17"/>
  <c r="AF34" i="17"/>
  <c r="AG34" i="17" s="1"/>
  <c r="AD34" i="17"/>
  <c r="AB34" i="17"/>
  <c r="X34" i="17"/>
  <c r="V34" i="17"/>
  <c r="P34" i="17"/>
  <c r="K34" i="17"/>
  <c r="G34" i="17"/>
  <c r="F34" i="17"/>
  <c r="D34" i="17"/>
  <c r="AZ33" i="17"/>
  <c r="AR33" i="17"/>
  <c r="AI33" i="17"/>
  <c r="AF33" i="17"/>
  <c r="AG33" i="17" s="1"/>
  <c r="AD33" i="17"/>
  <c r="AB33" i="17"/>
  <c r="X33" i="17"/>
  <c r="V33" i="17"/>
  <c r="P33" i="17"/>
  <c r="N33" i="17"/>
  <c r="K33" i="17"/>
  <c r="G33" i="17"/>
  <c r="F33" i="17"/>
  <c r="D33" i="17"/>
  <c r="AZ32" i="17"/>
  <c r="AR32" i="17"/>
  <c r="AF32" i="17"/>
  <c r="AZ31" i="17"/>
  <c r="AR31" i="17"/>
  <c r="AI31" i="17"/>
  <c r="AF31" i="17"/>
  <c r="AG31" i="17" s="1"/>
  <c r="AD31" i="17"/>
  <c r="AB31" i="17"/>
  <c r="X31" i="17"/>
  <c r="V31" i="17"/>
  <c r="P31" i="17"/>
  <c r="N31" i="17"/>
  <c r="K31" i="17"/>
  <c r="G31" i="17"/>
  <c r="F31" i="17"/>
  <c r="D31" i="17"/>
  <c r="AZ30" i="17"/>
  <c r="AR30" i="17"/>
  <c r="AF30" i="17"/>
  <c r="AZ29" i="17"/>
  <c r="AR29" i="17"/>
  <c r="AI29" i="17"/>
  <c r="AF29" i="17"/>
  <c r="AG29" i="17" s="1"/>
  <c r="AD29" i="17"/>
  <c r="AB29" i="17"/>
  <c r="X29" i="17"/>
  <c r="V29" i="17"/>
  <c r="P29" i="17"/>
  <c r="N29" i="17"/>
  <c r="K29" i="17"/>
  <c r="G29" i="17"/>
  <c r="F29" i="17"/>
  <c r="D29" i="17"/>
  <c r="AZ28" i="17"/>
  <c r="AR28" i="17"/>
  <c r="AI28" i="17"/>
  <c r="AF28" i="17"/>
  <c r="AG28" i="17" s="1"/>
  <c r="AD28" i="17"/>
  <c r="AB28" i="17"/>
  <c r="X28" i="17"/>
  <c r="V28" i="17"/>
  <c r="P28" i="17"/>
  <c r="K28" i="17"/>
  <c r="G28" i="17"/>
  <c r="F28" i="17"/>
  <c r="D28" i="17"/>
  <c r="BG27" i="17"/>
  <c r="AZ27" i="17"/>
  <c r="BA27" i="17" s="1"/>
  <c r="AX27" i="17"/>
  <c r="AS27" i="17"/>
  <c r="AR27" i="17"/>
  <c r="AI27" i="17"/>
  <c r="AF27" i="17"/>
  <c r="AG27" i="17" s="1"/>
  <c r="AD27" i="17"/>
  <c r="AB27" i="17"/>
  <c r="X27" i="17"/>
  <c r="V27" i="17"/>
  <c r="P27" i="17"/>
  <c r="N27" i="17"/>
  <c r="K27" i="17"/>
  <c r="F27" i="17"/>
  <c r="D27" i="17"/>
  <c r="AZ26" i="17"/>
  <c r="BA26" i="17" s="1"/>
  <c r="AX26" i="17"/>
  <c r="AS26" i="17"/>
  <c r="AQ26" i="17"/>
  <c r="AR26" i="17" s="1"/>
  <c r="AI26" i="17"/>
  <c r="AF26" i="17"/>
  <c r="AG26" i="17" s="1"/>
  <c r="AD26" i="17"/>
  <c r="AB26" i="17"/>
  <c r="X26" i="17"/>
  <c r="V26" i="17"/>
  <c r="P26" i="17"/>
  <c r="N26" i="17"/>
  <c r="K26" i="17"/>
  <c r="F26" i="17"/>
  <c r="D26" i="17"/>
  <c r="AZ25" i="17"/>
  <c r="BA25" i="17" s="1"/>
  <c r="AX25" i="17"/>
  <c r="AS25" i="17"/>
  <c r="AR25" i="17"/>
  <c r="AI25" i="17"/>
  <c r="AF25" i="17"/>
  <c r="AG25" i="17" s="1"/>
  <c r="AD25" i="17"/>
  <c r="AB25" i="17"/>
  <c r="X25" i="17"/>
  <c r="V25" i="17"/>
  <c r="P25" i="17"/>
  <c r="N25" i="17"/>
  <c r="K25" i="17"/>
  <c r="G25" i="17"/>
  <c r="F25" i="17"/>
  <c r="D25" i="17"/>
  <c r="AZ24" i="17"/>
  <c r="BA24" i="17" s="1"/>
  <c r="AX24" i="17"/>
  <c r="AS24" i="17"/>
  <c r="AR24" i="17"/>
  <c r="AI24" i="17"/>
  <c r="AF24" i="17"/>
  <c r="AG24" i="17" s="1"/>
  <c r="AD24" i="17"/>
  <c r="AB24" i="17"/>
  <c r="X24" i="17"/>
  <c r="V24" i="17"/>
  <c r="P24" i="17"/>
  <c r="N24" i="17"/>
  <c r="K24" i="17"/>
  <c r="G24" i="17"/>
  <c r="F24" i="17"/>
  <c r="D24" i="17"/>
  <c r="AZ23" i="17"/>
  <c r="BA23" i="17" s="1"/>
  <c r="AX23" i="17"/>
  <c r="AS23" i="17"/>
  <c r="AQ23" i="17"/>
  <c r="AR23" i="17" s="1"/>
  <c r="AH23" i="17"/>
  <c r="AH56" i="17" s="1"/>
  <c r="AF23" i="17"/>
  <c r="AG23" i="17" s="1"/>
  <c r="AD23" i="17"/>
  <c r="AB23" i="17"/>
  <c r="X23" i="17"/>
  <c r="V23" i="17"/>
  <c r="P23" i="17"/>
  <c r="N23" i="17"/>
  <c r="K23" i="17"/>
  <c r="G23" i="17"/>
  <c r="F23" i="17"/>
  <c r="D23" i="17"/>
  <c r="AZ22" i="17"/>
  <c r="AR22" i="17"/>
  <c r="AI22" i="17"/>
  <c r="AF22" i="17"/>
  <c r="AG22" i="17" s="1"/>
  <c r="AD22" i="17"/>
  <c r="AB22" i="17"/>
  <c r="X22" i="17"/>
  <c r="V22" i="17"/>
  <c r="P22" i="17"/>
  <c r="N22" i="17"/>
  <c r="AZ21" i="17"/>
  <c r="AO21" i="17"/>
  <c r="AR21" i="17" s="1"/>
  <c r="AI21" i="17"/>
  <c r="AF21" i="17"/>
  <c r="AG21" i="17" s="1"/>
  <c r="AD21" i="17"/>
  <c r="AB21" i="17"/>
  <c r="X21" i="17"/>
  <c r="V21" i="17"/>
  <c r="P21" i="17"/>
  <c r="N21" i="17"/>
  <c r="K21" i="17"/>
  <c r="G21" i="17"/>
  <c r="F21" i="17"/>
  <c r="D21" i="17"/>
  <c r="AY19" i="17"/>
  <c r="AZ19" i="17" s="1"/>
  <c r="BA19" i="17" s="1"/>
  <c r="AX19" i="17"/>
  <c r="AS19" i="17"/>
  <c r="AQ19" i="17"/>
  <c r="AR19" i="17" s="1"/>
  <c r="AI19" i="17"/>
  <c r="AF19" i="17"/>
  <c r="AG19" i="17" s="1"/>
  <c r="AD19" i="17"/>
  <c r="AB19" i="17"/>
  <c r="X19" i="17"/>
  <c r="V19" i="17"/>
  <c r="P19" i="17"/>
  <c r="N19" i="17"/>
  <c r="AZ18" i="17"/>
  <c r="BA18" i="17" s="1"/>
  <c r="AX18" i="17"/>
  <c r="AS18" i="17"/>
  <c r="AR18" i="17"/>
  <c r="AI18" i="17"/>
  <c r="AF18" i="17"/>
  <c r="AG18" i="17" s="1"/>
  <c r="AD18" i="17"/>
  <c r="AB18" i="17"/>
  <c r="X18" i="17"/>
  <c r="V18" i="17"/>
  <c r="P18" i="17"/>
  <c r="N18" i="17"/>
  <c r="K18" i="17"/>
  <c r="F18" i="17"/>
  <c r="D18" i="17"/>
  <c r="AZ17" i="17"/>
  <c r="AR17" i="17"/>
  <c r="AI17" i="17"/>
  <c r="AF17" i="17"/>
  <c r="AG17" i="17" s="1"/>
  <c r="AD17" i="17"/>
  <c r="AB17" i="17"/>
  <c r="X17" i="17"/>
  <c r="V17" i="17"/>
  <c r="P17" i="17"/>
  <c r="N17" i="17"/>
  <c r="K17" i="17"/>
  <c r="G17" i="17"/>
  <c r="F17" i="17"/>
  <c r="D17" i="17"/>
  <c r="BY16" i="17"/>
  <c r="BG16" i="17"/>
  <c r="AZ16" i="17"/>
  <c r="BA16" i="17" s="1"/>
  <c r="AX16" i="17"/>
  <c r="AS16" i="17"/>
  <c r="AR16" i="17"/>
  <c r="AI16" i="17"/>
  <c r="AF16" i="17"/>
  <c r="AG16" i="17" s="1"/>
  <c r="AD16" i="17"/>
  <c r="AB16" i="17"/>
  <c r="X16" i="17"/>
  <c r="V16" i="17"/>
  <c r="P16" i="17"/>
  <c r="N16" i="17"/>
  <c r="K16" i="17"/>
  <c r="F16" i="17"/>
  <c r="D16" i="17"/>
  <c r="AZ15" i="17"/>
  <c r="BA15" i="17" s="1"/>
  <c r="AX15" i="17"/>
  <c r="AS15" i="17"/>
  <c r="AR15" i="17"/>
  <c r="AI15" i="17"/>
  <c r="AF15" i="17"/>
  <c r="AG15" i="17" s="1"/>
  <c r="AD15" i="17"/>
  <c r="AB15" i="17"/>
  <c r="X15" i="17"/>
  <c r="V15" i="17"/>
  <c r="P15" i="17"/>
  <c r="N15" i="17"/>
  <c r="AZ13" i="17"/>
  <c r="BA13" i="17" s="1"/>
  <c r="AX13" i="17"/>
  <c r="AS13" i="17"/>
  <c r="AO13" i="17"/>
  <c r="AR13" i="17" s="1"/>
  <c r="AI13" i="17"/>
  <c r="AF13" i="17"/>
  <c r="AG13" i="17" s="1"/>
  <c r="AD13" i="17"/>
  <c r="AB13" i="17"/>
  <c r="X13" i="17"/>
  <c r="V13" i="17"/>
  <c r="P13" i="17"/>
  <c r="N13" i="17"/>
  <c r="J13" i="17"/>
  <c r="J56" i="17" s="1"/>
  <c r="G13" i="17"/>
  <c r="F13" i="17"/>
  <c r="D13" i="17"/>
  <c r="AY9" i="17"/>
  <c r="AZ9" i="17" s="1"/>
  <c r="AU9" i="17"/>
  <c r="AU56" i="17" s="1"/>
  <c r="BK8" i="17"/>
  <c r="AY8" i="17"/>
  <c r="AX8" i="17"/>
  <c r="AS8" i="17"/>
  <c r="AQ8" i="17"/>
  <c r="AI8" i="17"/>
  <c r="AF8" i="17"/>
  <c r="AG8" i="17" s="1"/>
  <c r="AD8" i="17"/>
  <c r="AB8" i="17"/>
  <c r="X8" i="17"/>
  <c r="V8" i="17"/>
  <c r="P8" i="17"/>
  <c r="N8" i="17"/>
  <c r="K8" i="17"/>
  <c r="G8" i="17"/>
  <c r="F8" i="17"/>
  <c r="D8" i="17"/>
  <c r="F5" i="17"/>
  <c r="D5" i="17"/>
  <c r="BG4" i="17"/>
  <c r="AX4" i="17"/>
  <c r="AD4" i="17"/>
  <c r="AB4" i="17"/>
  <c r="P4" i="17"/>
  <c r="N4" i="17"/>
  <c r="K4" i="17"/>
  <c r="AF56" i="17" l="1"/>
  <c r="D56" i="17"/>
  <c r="AD56" i="17"/>
  <c r="AY56" i="17"/>
  <c r="BD20" i="17"/>
  <c r="BI20" i="17" s="1"/>
  <c r="BJ20" i="17" s="1"/>
  <c r="F56" i="17"/>
  <c r="BI8" i="17"/>
  <c r="BJ8" i="17" s="1"/>
  <c r="BH9" i="17"/>
  <c r="BI9" i="17" s="1"/>
  <c r="BJ9" i="17" s="1"/>
  <c r="AQ56" i="17"/>
  <c r="K13" i="17"/>
  <c r="AB56" i="17"/>
  <c r="BA9" i="17"/>
  <c r="AI23" i="17"/>
  <c r="AX9" i="17"/>
  <c r="AI56" i="17"/>
  <c r="AG56" i="17"/>
  <c r="G56" i="17"/>
  <c r="AR8" i="17"/>
  <c r="AR56" i="17" s="1"/>
  <c r="AZ8" i="17"/>
  <c r="BZ17" i="17"/>
  <c r="P50" i="17"/>
  <c r="AS56" i="17"/>
  <c r="X56" i="17"/>
  <c r="V56" i="17"/>
  <c r="N56" i="17"/>
  <c r="P56" i="17"/>
  <c r="AX56" i="17"/>
  <c r="BK9" i="17"/>
  <c r="BK56" i="17" s="1"/>
  <c r="BZ3" i="17" s="1"/>
  <c r="V50" i="17"/>
  <c r="AO56" i="17"/>
  <c r="X50" i="17"/>
  <c r="BD67" i="16"/>
  <c r="BF56" i="16"/>
  <c r="BF19" i="16"/>
  <c r="BF24" i="16"/>
  <c r="BF34" i="16"/>
  <c r="BF43" i="16"/>
  <c r="BF60" i="16"/>
  <c r="BF46" i="16"/>
  <c r="BF44" i="16"/>
  <c r="BF45" i="16"/>
  <c r="BD56" i="17" l="1"/>
  <c r="BI56" i="17"/>
  <c r="BJ56" i="17" s="1"/>
  <c r="BH56" i="17"/>
  <c r="BZ24" i="17" s="1"/>
  <c r="BF61" i="16"/>
  <c r="BF52" i="17"/>
  <c r="BG52" i="17" s="1"/>
  <c r="AZ56" i="17"/>
  <c r="BA8" i="17"/>
  <c r="BF9" i="17"/>
  <c r="BG9" i="17" s="1"/>
  <c r="BF15" i="17"/>
  <c r="BG15" i="17" s="1"/>
  <c r="BF18" i="17"/>
  <c r="BG18" i="17" s="1"/>
  <c r="BF26" i="17"/>
  <c r="BG26" i="17" s="1"/>
  <c r="BF35" i="17"/>
  <c r="BG35" i="17" s="1"/>
  <c r="BF19" i="17"/>
  <c r="BG19" i="17" s="1"/>
  <c r="BF23" i="17"/>
  <c r="BG23" i="17" s="1"/>
  <c r="BF24" i="17"/>
  <c r="BF44" i="17" l="1"/>
  <c r="BG44" i="17" s="1"/>
  <c r="BF8" i="17"/>
  <c r="BG8" i="17" s="1"/>
  <c r="BF45" i="17"/>
  <c r="BG45" i="17" s="1"/>
  <c r="BF52" i="16"/>
  <c r="BF16" i="16"/>
  <c r="BF13" i="17"/>
  <c r="BG13" i="17" s="1"/>
  <c r="BF14" i="17"/>
  <c r="BF51" i="16"/>
  <c r="C93" i="16"/>
  <c r="C86" i="16"/>
  <c r="C87" i="16" s="1"/>
  <c r="AU71" i="16"/>
  <c r="AP67" i="16"/>
  <c r="AN67" i="16"/>
  <c r="AM67" i="16"/>
  <c r="AL67" i="16"/>
  <c r="AJ67" i="16"/>
  <c r="AE67" i="16"/>
  <c r="AC67" i="16"/>
  <c r="AA67" i="16"/>
  <c r="Z67" i="16"/>
  <c r="W67" i="16"/>
  <c r="U67" i="16"/>
  <c r="O67" i="16"/>
  <c r="M67" i="16"/>
  <c r="I67" i="16"/>
  <c r="H67" i="16"/>
  <c r="E67" i="16"/>
  <c r="C67" i="16"/>
  <c r="B67" i="16"/>
  <c r="AZ63" i="16"/>
  <c r="AZ62" i="16"/>
  <c r="AR62" i="16"/>
  <c r="AI62" i="16"/>
  <c r="AF62" i="16"/>
  <c r="AG62" i="16" s="1"/>
  <c r="AD62" i="16"/>
  <c r="AB62" i="16"/>
  <c r="Y62" i="16"/>
  <c r="AZ61" i="16"/>
  <c r="BA61" i="16" s="1"/>
  <c r="AX61" i="16"/>
  <c r="AS61" i="16"/>
  <c r="AR61" i="16"/>
  <c r="AI61" i="16"/>
  <c r="AF61" i="16"/>
  <c r="AG61" i="16" s="1"/>
  <c r="AD61" i="16"/>
  <c r="AB61" i="16"/>
  <c r="AZ60" i="16"/>
  <c r="BA60" i="16" s="1"/>
  <c r="AX60" i="16"/>
  <c r="AS60" i="16"/>
  <c r="AR60" i="16"/>
  <c r="AI60" i="16"/>
  <c r="AF60" i="16"/>
  <c r="AG60" i="16" s="1"/>
  <c r="AD60" i="16"/>
  <c r="AB60" i="16"/>
  <c r="X60" i="16"/>
  <c r="V60" i="16"/>
  <c r="P60" i="16"/>
  <c r="AZ59" i="16"/>
  <c r="AR59" i="16"/>
  <c r="AF59" i="16"/>
  <c r="L59" i="16"/>
  <c r="L67" i="16" s="1"/>
  <c r="AZ57" i="16"/>
  <c r="AR57" i="16"/>
  <c r="AF57" i="16"/>
  <c r="X57" i="16"/>
  <c r="V57" i="16"/>
  <c r="P57" i="16"/>
  <c r="AZ56" i="16"/>
  <c r="BA56" i="16" s="1"/>
  <c r="AX56" i="16"/>
  <c r="AS56" i="16"/>
  <c r="AR56" i="16"/>
  <c r="AI56" i="16"/>
  <c r="AF56" i="16"/>
  <c r="AG56" i="16" s="1"/>
  <c r="AD56" i="16"/>
  <c r="AB56" i="16"/>
  <c r="X56" i="16"/>
  <c r="V56" i="16"/>
  <c r="P56" i="16"/>
  <c r="AZ54" i="16"/>
  <c r="AR54" i="16"/>
  <c r="AF54" i="16"/>
  <c r="AZ53" i="16"/>
  <c r="AR53" i="16"/>
  <c r="AF53" i="16"/>
  <c r="X53" i="16"/>
  <c r="V53" i="16"/>
  <c r="P53" i="16"/>
  <c r="AX52" i="16"/>
  <c r="AZ52" i="16"/>
  <c r="BA52" i="16" s="1"/>
  <c r="AS52" i="16"/>
  <c r="AR52" i="16"/>
  <c r="AI52" i="16"/>
  <c r="AF52" i="16"/>
  <c r="AG52" i="16" s="1"/>
  <c r="AD52" i="16"/>
  <c r="AB52" i="16"/>
  <c r="X52" i="16"/>
  <c r="V52" i="16"/>
  <c r="P52" i="16"/>
  <c r="N52" i="16"/>
  <c r="G52" i="16"/>
  <c r="F52" i="16"/>
  <c r="D52" i="16"/>
  <c r="AZ51" i="16"/>
  <c r="BA51" i="16" s="1"/>
  <c r="AS51" i="16"/>
  <c r="AR51" i="16"/>
  <c r="AF51" i="16"/>
  <c r="AZ49" i="16"/>
  <c r="AS49" i="16"/>
  <c r="AR49" i="16"/>
  <c r="AI49" i="16"/>
  <c r="AF49" i="16"/>
  <c r="AG49" i="16" s="1"/>
  <c r="AD49" i="16"/>
  <c r="AB49" i="16"/>
  <c r="X49" i="16"/>
  <c r="V49" i="16"/>
  <c r="P49" i="16"/>
  <c r="K49" i="16"/>
  <c r="G49" i="16"/>
  <c r="F49" i="16"/>
  <c r="D49" i="16"/>
  <c r="AZ48" i="16"/>
  <c r="AR48" i="16"/>
  <c r="AF48" i="16"/>
  <c r="K48" i="16"/>
  <c r="G48" i="16"/>
  <c r="F48" i="16"/>
  <c r="D48" i="16"/>
  <c r="AZ47" i="16"/>
  <c r="AR47" i="16"/>
  <c r="AF47" i="16"/>
  <c r="AZ46" i="16"/>
  <c r="BA46" i="16" s="1"/>
  <c r="AS46" i="16"/>
  <c r="AR46" i="16"/>
  <c r="AI46" i="16"/>
  <c r="AF46" i="16"/>
  <c r="AG46" i="16" s="1"/>
  <c r="AD46" i="16"/>
  <c r="AB46" i="16"/>
  <c r="AZ45" i="16"/>
  <c r="BA45" i="16" s="1"/>
  <c r="AS45" i="16"/>
  <c r="AR45" i="16"/>
  <c r="AI45" i="16"/>
  <c r="AF45" i="16"/>
  <c r="AG45" i="16" s="1"/>
  <c r="AD45" i="16"/>
  <c r="AB45" i="16"/>
  <c r="X45" i="16"/>
  <c r="V45" i="16"/>
  <c r="P45" i="16"/>
  <c r="K45" i="16"/>
  <c r="G45" i="16"/>
  <c r="F45" i="16"/>
  <c r="D45" i="16"/>
  <c r="AZ44" i="16"/>
  <c r="BA44" i="16" s="1"/>
  <c r="AS44" i="16"/>
  <c r="AR44" i="16"/>
  <c r="AI44" i="16"/>
  <c r="AF44" i="16"/>
  <c r="AG44" i="16" s="1"/>
  <c r="AD44" i="16"/>
  <c r="AB44" i="16"/>
  <c r="X44" i="16"/>
  <c r="V44" i="16"/>
  <c r="P44" i="16"/>
  <c r="N44" i="16"/>
  <c r="K44" i="16"/>
  <c r="G44" i="16"/>
  <c r="F44" i="16"/>
  <c r="D44" i="16"/>
  <c r="AZ43" i="16"/>
  <c r="BA43" i="16" s="1"/>
  <c r="AX43" i="16"/>
  <c r="AS43" i="16"/>
  <c r="AR43" i="16"/>
  <c r="AI43" i="16"/>
  <c r="AF43" i="16"/>
  <c r="AG43" i="16" s="1"/>
  <c r="AD43" i="16"/>
  <c r="AB43" i="16"/>
  <c r="X43" i="16"/>
  <c r="V43" i="16"/>
  <c r="P43" i="16"/>
  <c r="K43" i="16"/>
  <c r="G43" i="16"/>
  <c r="F43" i="16"/>
  <c r="D43" i="16"/>
  <c r="AY42" i="16"/>
  <c r="AZ42" i="16" s="1"/>
  <c r="BA42" i="16" s="1"/>
  <c r="AX42" i="16"/>
  <c r="AS42" i="16"/>
  <c r="AQ42" i="16"/>
  <c r="AR42" i="16" s="1"/>
  <c r="AI42" i="16"/>
  <c r="AF42" i="16"/>
  <c r="AG42" i="16" s="1"/>
  <c r="AD42" i="16"/>
  <c r="AB42" i="16"/>
  <c r="X42" i="16"/>
  <c r="V42" i="16"/>
  <c r="P42" i="16"/>
  <c r="N42" i="16"/>
  <c r="K42" i="16"/>
  <c r="G42" i="16"/>
  <c r="F42" i="16"/>
  <c r="D42" i="16"/>
  <c r="AZ41" i="16"/>
  <c r="AR41" i="16"/>
  <c r="AI41" i="16"/>
  <c r="AF41" i="16"/>
  <c r="AG41" i="16" s="1"/>
  <c r="AD41" i="16"/>
  <c r="AB41" i="16"/>
  <c r="X41" i="16"/>
  <c r="V41" i="16"/>
  <c r="P41" i="16"/>
  <c r="K41" i="16"/>
  <c r="G41" i="16"/>
  <c r="F41" i="16"/>
  <c r="D41" i="16"/>
  <c r="AZ40" i="16"/>
  <c r="AR40" i="16"/>
  <c r="AI40" i="16"/>
  <c r="AF40" i="16"/>
  <c r="AG40" i="16" s="1"/>
  <c r="AD40" i="16"/>
  <c r="AB40" i="16"/>
  <c r="X40" i="16"/>
  <c r="V40" i="16"/>
  <c r="P40" i="16"/>
  <c r="N40" i="16"/>
  <c r="K40" i="16"/>
  <c r="G40" i="16"/>
  <c r="F40" i="16"/>
  <c r="D40" i="16"/>
  <c r="AZ39" i="16"/>
  <c r="AR39" i="16"/>
  <c r="AF39" i="16"/>
  <c r="AZ38" i="16"/>
  <c r="AR38" i="16"/>
  <c r="AI38" i="16"/>
  <c r="AF38" i="16"/>
  <c r="AG38" i="16" s="1"/>
  <c r="AD38" i="16"/>
  <c r="AB38" i="16"/>
  <c r="X38" i="16"/>
  <c r="V38" i="16"/>
  <c r="P38" i="16"/>
  <c r="N38" i="16"/>
  <c r="K38" i="16"/>
  <c r="G38" i="16"/>
  <c r="F38" i="16"/>
  <c r="D38" i="16"/>
  <c r="AZ37" i="16"/>
  <c r="AR37" i="16"/>
  <c r="AF37" i="16"/>
  <c r="AZ36" i="16"/>
  <c r="AR36" i="16"/>
  <c r="AI36" i="16"/>
  <c r="AF36" i="16"/>
  <c r="AG36" i="16" s="1"/>
  <c r="AD36" i="16"/>
  <c r="AB36" i="16"/>
  <c r="X36" i="16"/>
  <c r="V36" i="16"/>
  <c r="P36" i="16"/>
  <c r="N36" i="16"/>
  <c r="K36" i="16"/>
  <c r="G36" i="16"/>
  <c r="F36" i="16"/>
  <c r="D36" i="16"/>
  <c r="AZ35" i="16"/>
  <c r="AR35" i="16"/>
  <c r="AI35" i="16"/>
  <c r="AF35" i="16"/>
  <c r="AG35" i="16" s="1"/>
  <c r="AD35" i="16"/>
  <c r="AB35" i="16"/>
  <c r="X35" i="16"/>
  <c r="V35" i="16"/>
  <c r="P35" i="16"/>
  <c r="K35" i="16"/>
  <c r="G35" i="16"/>
  <c r="F35" i="16"/>
  <c r="D35" i="16"/>
  <c r="AZ34" i="16"/>
  <c r="BA34" i="16" s="1"/>
  <c r="AS34" i="16"/>
  <c r="AR34" i="16"/>
  <c r="AI34" i="16"/>
  <c r="AF34" i="16"/>
  <c r="AG34" i="16" s="1"/>
  <c r="AD34" i="16"/>
  <c r="AB34" i="16"/>
  <c r="X34" i="16"/>
  <c r="V34" i="16"/>
  <c r="P34" i="16"/>
  <c r="N34" i="16"/>
  <c r="K34" i="16"/>
  <c r="F34" i="16"/>
  <c r="D34" i="16"/>
  <c r="AZ33" i="16"/>
  <c r="BA33" i="16" s="1"/>
  <c r="AS33" i="16"/>
  <c r="AQ33" i="16"/>
  <c r="AR33" i="16" s="1"/>
  <c r="AI33" i="16"/>
  <c r="AF33" i="16"/>
  <c r="AG33" i="16" s="1"/>
  <c r="AD33" i="16"/>
  <c r="AB33" i="16"/>
  <c r="X33" i="16"/>
  <c r="V33" i="16"/>
  <c r="P33" i="16"/>
  <c r="N33" i="16"/>
  <c r="K33" i="16"/>
  <c r="F33" i="16"/>
  <c r="D33" i="16"/>
  <c r="AZ31" i="16"/>
  <c r="BA31" i="16" s="1"/>
  <c r="AX31" i="16"/>
  <c r="AS31" i="16"/>
  <c r="AR31" i="16"/>
  <c r="AI31" i="16"/>
  <c r="AF31" i="16"/>
  <c r="AG31" i="16" s="1"/>
  <c r="AD31" i="16"/>
  <c r="AB31" i="16"/>
  <c r="X31" i="16"/>
  <c r="V31" i="16"/>
  <c r="P31" i="16"/>
  <c r="N31" i="16"/>
  <c r="K31" i="16"/>
  <c r="G31" i="16"/>
  <c r="F31" i="16"/>
  <c r="D31" i="16"/>
  <c r="AZ28" i="16"/>
  <c r="BA28" i="16" s="1"/>
  <c r="AS28" i="16"/>
  <c r="AR28" i="16"/>
  <c r="AI28" i="16"/>
  <c r="AF28" i="16"/>
  <c r="AG28" i="16" s="1"/>
  <c r="AD28" i="16"/>
  <c r="AB28" i="16"/>
  <c r="X28" i="16"/>
  <c r="V28" i="16"/>
  <c r="P28" i="16"/>
  <c r="N28" i="16"/>
  <c r="K28" i="16"/>
  <c r="G28" i="16"/>
  <c r="F28" i="16"/>
  <c r="D28" i="16"/>
  <c r="AX27" i="16"/>
  <c r="AZ27" i="16"/>
  <c r="BA27" i="16" s="1"/>
  <c r="AS27" i="16"/>
  <c r="AQ27" i="16"/>
  <c r="AR27" i="16" s="1"/>
  <c r="AH27" i="16"/>
  <c r="AH67" i="16" s="1"/>
  <c r="AF27" i="16"/>
  <c r="AG27" i="16" s="1"/>
  <c r="AD27" i="16"/>
  <c r="AB27" i="16"/>
  <c r="X27" i="16"/>
  <c r="V27" i="16"/>
  <c r="P27" i="16"/>
  <c r="N27" i="16"/>
  <c r="K27" i="16"/>
  <c r="G27" i="16"/>
  <c r="F27" i="16"/>
  <c r="D27" i="16"/>
  <c r="AR26" i="16"/>
  <c r="AI26" i="16"/>
  <c r="AF26" i="16"/>
  <c r="AG26" i="16" s="1"/>
  <c r="AD26" i="16"/>
  <c r="AB26" i="16"/>
  <c r="X26" i="16"/>
  <c r="V26" i="16"/>
  <c r="P26" i="16"/>
  <c r="N26" i="16"/>
  <c r="AO25" i="16"/>
  <c r="AR25" i="16" s="1"/>
  <c r="AI25" i="16"/>
  <c r="AF25" i="16"/>
  <c r="AG25" i="16" s="1"/>
  <c r="AD25" i="16"/>
  <c r="AB25" i="16"/>
  <c r="X25" i="16"/>
  <c r="V25" i="16"/>
  <c r="P25" i="16"/>
  <c r="N25" i="16"/>
  <c r="K25" i="16"/>
  <c r="G25" i="16"/>
  <c r="F25" i="16"/>
  <c r="D25" i="16"/>
  <c r="AY22" i="16"/>
  <c r="AZ22" i="16" s="1"/>
  <c r="BA22" i="16" s="1"/>
  <c r="AX22" i="16"/>
  <c r="AS22" i="16"/>
  <c r="AQ22" i="16"/>
  <c r="AR22" i="16" s="1"/>
  <c r="AI22" i="16"/>
  <c r="AF22" i="16"/>
  <c r="AG22" i="16" s="1"/>
  <c r="AD22" i="16"/>
  <c r="AB22" i="16"/>
  <c r="X22" i="16"/>
  <c r="V22" i="16"/>
  <c r="P22" i="16"/>
  <c r="N22" i="16"/>
  <c r="AZ21" i="16"/>
  <c r="BA21" i="16" s="1"/>
  <c r="AS21" i="16"/>
  <c r="AR21" i="16"/>
  <c r="AI21" i="16"/>
  <c r="AF21" i="16"/>
  <c r="AG21" i="16" s="1"/>
  <c r="AD21" i="16"/>
  <c r="AB21" i="16"/>
  <c r="X21" i="16"/>
  <c r="V21" i="16"/>
  <c r="P21" i="16"/>
  <c r="N21" i="16"/>
  <c r="K21" i="16"/>
  <c r="F21" i="16"/>
  <c r="D21" i="16"/>
  <c r="AR20" i="16"/>
  <c r="AI20" i="16"/>
  <c r="AF20" i="16"/>
  <c r="AG20" i="16" s="1"/>
  <c r="AD20" i="16"/>
  <c r="AB20" i="16"/>
  <c r="X20" i="16"/>
  <c r="V20" i="16"/>
  <c r="P20" i="16"/>
  <c r="N20" i="16"/>
  <c r="K20" i="16"/>
  <c r="G20" i="16"/>
  <c r="F20" i="16"/>
  <c r="D20" i="16"/>
  <c r="CJ19" i="16"/>
  <c r="AZ19" i="16"/>
  <c r="BA19" i="16" s="1"/>
  <c r="AX19" i="16"/>
  <c r="AS19" i="16"/>
  <c r="AR19" i="16"/>
  <c r="AI19" i="16"/>
  <c r="AF19" i="16"/>
  <c r="AG19" i="16" s="1"/>
  <c r="AD19" i="16"/>
  <c r="AB19" i="16"/>
  <c r="X19" i="16"/>
  <c r="V19" i="16"/>
  <c r="P19" i="16"/>
  <c r="N19" i="16"/>
  <c r="K19" i="16"/>
  <c r="F19" i="16"/>
  <c r="D19" i="16"/>
  <c r="AZ18" i="16"/>
  <c r="BA18" i="16" s="1"/>
  <c r="AS18" i="16"/>
  <c r="AR18" i="16"/>
  <c r="AI18" i="16"/>
  <c r="AF18" i="16"/>
  <c r="AG18" i="16" s="1"/>
  <c r="AD18" i="16"/>
  <c r="AB18" i="16"/>
  <c r="X18" i="16"/>
  <c r="V18" i="16"/>
  <c r="P18" i="16"/>
  <c r="N18" i="16"/>
  <c r="AZ16" i="16"/>
  <c r="BA16" i="16" s="1"/>
  <c r="AX16" i="16"/>
  <c r="AS16" i="16"/>
  <c r="AO16" i="16"/>
  <c r="AR16" i="16" s="1"/>
  <c r="AI16" i="16"/>
  <c r="AF16" i="16"/>
  <c r="AG16" i="16" s="1"/>
  <c r="AD16" i="16"/>
  <c r="AB16" i="16"/>
  <c r="X16" i="16"/>
  <c r="V16" i="16"/>
  <c r="P16" i="16"/>
  <c r="N16" i="16"/>
  <c r="J16" i="16"/>
  <c r="K16" i="16" s="1"/>
  <c r="G16" i="16"/>
  <c r="F16" i="16"/>
  <c r="D16" i="16"/>
  <c r="AY10" i="16"/>
  <c r="AZ10" i="16" s="1"/>
  <c r="AU10" i="16"/>
  <c r="AU67" i="16" s="1"/>
  <c r="AY8" i="16"/>
  <c r="AW67" i="16"/>
  <c r="AS8" i="16"/>
  <c r="AQ8" i="16"/>
  <c r="AI8" i="16"/>
  <c r="AF8" i="16"/>
  <c r="AG8" i="16" s="1"/>
  <c r="AD8" i="16"/>
  <c r="AB8" i="16"/>
  <c r="X8" i="16"/>
  <c r="V8" i="16"/>
  <c r="P8" i="16"/>
  <c r="N8" i="16"/>
  <c r="K8" i="16"/>
  <c r="G8" i="16"/>
  <c r="F8" i="16"/>
  <c r="D8" i="16"/>
  <c r="CI6" i="16"/>
  <c r="F6" i="16"/>
  <c r="D6" i="16"/>
  <c r="AX5" i="16"/>
  <c r="AD5" i="16"/>
  <c r="AB5" i="16"/>
  <c r="P5" i="16"/>
  <c r="N5" i="16"/>
  <c r="K5" i="16"/>
  <c r="F16" i="15"/>
  <c r="F25" i="15" s="1"/>
  <c r="F34" i="15" s="1"/>
  <c r="F40" i="15" s="1"/>
  <c r="AS67" i="16" l="1"/>
  <c r="BF56" i="17"/>
  <c r="BG56" i="17" s="1"/>
  <c r="AI67" i="16"/>
  <c r="AB67" i="16"/>
  <c r="AX67" i="16"/>
  <c r="AF67" i="16"/>
  <c r="AG67" i="16" s="1"/>
  <c r="AQ67" i="16"/>
  <c r="P59" i="16"/>
  <c r="F67" i="16"/>
  <c r="AI27" i="16"/>
  <c r="X59" i="16"/>
  <c r="P67" i="16"/>
  <c r="V59" i="16"/>
  <c r="AY67" i="16"/>
  <c r="BA10" i="16"/>
  <c r="AX18" i="16"/>
  <c r="AX34" i="16"/>
  <c r="AX44" i="16"/>
  <c r="AD67" i="16"/>
  <c r="G67" i="16"/>
  <c r="D67" i="16"/>
  <c r="N67" i="16"/>
  <c r="V67" i="16"/>
  <c r="X67" i="16"/>
  <c r="CK3" i="16"/>
  <c r="AX28" i="16"/>
  <c r="AX46" i="16"/>
  <c r="AX51" i="16"/>
  <c r="J67" i="16"/>
  <c r="AO67" i="16"/>
  <c r="AX8" i="16"/>
  <c r="AX10" i="16"/>
  <c r="AR8" i="16"/>
  <c r="AR67" i="16" s="1"/>
  <c r="AX21" i="16"/>
  <c r="AX33" i="16"/>
  <c r="AX45" i="16"/>
  <c r="AZ8" i="16"/>
  <c r="BA8" i="16" l="1"/>
  <c r="AZ67" i="16"/>
  <c r="BF10" i="16" l="1"/>
  <c r="CI8" i="16"/>
  <c r="CJ10" i="16" s="1"/>
  <c r="CK20" i="16" s="1"/>
  <c r="BF22" i="16" l="1"/>
  <c r="BF42" i="16"/>
  <c r="BE18" i="16"/>
  <c r="BF18" i="16" s="1"/>
  <c r="BF33" i="16"/>
  <c r="BF21" i="16"/>
  <c r="BF27" i="16"/>
  <c r="BF8" i="16" l="1"/>
  <c r="BE67" i="16"/>
  <c r="CK28" i="16" l="1"/>
  <c r="F19" i="4"/>
  <c r="K16" i="8"/>
  <c r="J16" i="8"/>
  <c r="I21" i="4" l="1"/>
  <c r="E16" i="8"/>
  <c r="G16" i="8"/>
  <c r="H16" i="8"/>
  <c r="I16" i="8"/>
  <c r="M24" i="3" l="1"/>
  <c r="Q23" i="3" s="1"/>
  <c r="R16" i="3" l="1"/>
  <c r="Q21" i="3" s="1"/>
  <c r="Q16" i="3"/>
  <c r="P16" i="3"/>
  <c r="O16" i="3"/>
  <c r="N16" i="3"/>
  <c r="M16" i="3"/>
  <c r="L16" i="3"/>
  <c r="Q19" i="3" s="1"/>
  <c r="K16" i="3"/>
  <c r="Q20" i="3" s="1"/>
  <c r="J6" i="3"/>
  <c r="I136" i="2"/>
  <c r="Q24" i="3" l="1"/>
  <c r="J7" i="3"/>
  <c r="J8" i="3" s="1"/>
  <c r="J9" i="3" s="1"/>
  <c r="J10" i="3" s="1"/>
  <c r="J11" i="3" s="1"/>
  <c r="J12" i="3" s="1"/>
  <c r="M22" i="3" s="1"/>
  <c r="M25" i="3" s="1"/>
  <c r="M31" i="3" s="1"/>
  <c r="S18" i="3"/>
  <c r="L18" i="3"/>
  <c r="I16" i="3"/>
  <c r="I18" i="3" s="1"/>
  <c r="BF67" i="16" l="1"/>
  <c r="AQ134" i="2" l="1"/>
  <c r="AQ136" i="2" s="1"/>
  <c r="BZ23" i="17"/>
  <c r="BZ25" i="17" s="1"/>
  <c r="BZ19" i="17" s="1"/>
  <c r="BZ18" i="17" s="1"/>
  <c r="CK27" i="16"/>
  <c r="CK31" i="16" s="1"/>
  <c r="CK22" i="16" s="1"/>
  <c r="CK21" i="16" s="1"/>
  <c r="I138" i="2"/>
  <c r="I141" i="2" s="1"/>
</calcChain>
</file>

<file path=xl/sharedStrings.xml><?xml version="1.0" encoding="utf-8"?>
<sst xmlns="http://schemas.openxmlformats.org/spreadsheetml/2006/main" count="1728" uniqueCount="1177">
  <si>
    <t>Budget Review June 2017</t>
  </si>
  <si>
    <t>%</t>
  </si>
  <si>
    <t>Budget Review January 31st 2018</t>
  </si>
  <si>
    <t>Projected End of Year Figs</t>
  </si>
  <si>
    <t>Working Party Meeting - Proposal for Budget 2018 2019</t>
  </si>
  <si>
    <t>Comments on ytd 31/01/18</t>
  </si>
  <si>
    <t>Comments on proposed budget 2018 2019</t>
  </si>
  <si>
    <t>on target %</t>
  </si>
  <si>
    <t>On target %</t>
  </si>
  <si>
    <t>Expenditure type</t>
  </si>
  <si>
    <t>Clerk Salary</t>
  </si>
  <si>
    <t>Office Equipment</t>
  </si>
  <si>
    <t>TRAINING</t>
  </si>
  <si>
    <t>Cleaner</t>
  </si>
  <si>
    <t>£470 of this amount relates to pre April 17 expenses</t>
  </si>
  <si>
    <t>Insurance premium</t>
  </si>
  <si>
    <t>** Changed this as there was a slight increase on last yrs policy **</t>
  </si>
  <si>
    <t>General Village Maintenance</t>
  </si>
  <si>
    <t>Pavitt Maintainence</t>
  </si>
  <si>
    <t>Taurpaulin over the hall???</t>
  </si>
  <si>
    <t>Electricity Pavitt Hall</t>
  </si>
  <si>
    <t>Heaters now turned off</t>
  </si>
  <si>
    <t>Water Pavitt Hall - metered</t>
  </si>
  <si>
    <t>Fire Extinguishers</t>
  </si>
  <si>
    <t>Grass cutting</t>
  </si>
  <si>
    <t>contingency of 1500k for amounts uninvoiced during financial yr end 31/3/18</t>
  </si>
  <si>
    <t>Hedge laying/cutting</t>
  </si>
  <si>
    <t>To be arranged shortly</t>
  </si>
  <si>
    <t>Playground Maint</t>
  </si>
  <si>
    <t>Pavilion Maintainence / Improv.</t>
  </si>
  <si>
    <t>Painting pavilion</t>
  </si>
  <si>
    <t>White line</t>
  </si>
  <si>
    <t>Electricity Pavilion</t>
  </si>
  <si>
    <t>Water Pavilion</t>
  </si>
  <si>
    <t>Ranger</t>
  </si>
  <si>
    <t>Internal audit</t>
  </si>
  <si>
    <t>External audit</t>
  </si>
  <si>
    <t>SALC</t>
  </si>
  <si>
    <t>Som. Playing Fields</t>
  </si>
  <si>
    <t>Annual BSCC Fete</t>
  </si>
  <si>
    <t>PCC Maintenance Grant</t>
  </si>
  <si>
    <t>Rec Trust Grant</t>
  </si>
  <si>
    <t>Miscellaneous Grant</t>
  </si>
  <si>
    <t>Re-siting of Notice Board (the green)</t>
  </si>
  <si>
    <t>Bus Shelter</t>
  </si>
  <si>
    <t>Garage Roof</t>
  </si>
  <si>
    <t>Village Hall Project</t>
  </si>
  <si>
    <t>Website</t>
  </si>
  <si>
    <t>Earmarked funds:</t>
  </si>
  <si>
    <t>Whitcross Rec. Playground Equipment</t>
  </si>
  <si>
    <t>contingency</t>
  </si>
  <si>
    <t>Total</t>
  </si>
  <si>
    <t>Pavilion at Whitcross</t>
  </si>
  <si>
    <t>Date</t>
  </si>
  <si>
    <t>Chq</t>
  </si>
  <si>
    <t>To Whom Paid</t>
  </si>
  <si>
    <t>Particulars of Payment</t>
  </si>
  <si>
    <t>Check</t>
  </si>
  <si>
    <t>VAT</t>
  </si>
  <si>
    <t>Salaries</t>
  </si>
  <si>
    <t>Office / stationery</t>
  </si>
  <si>
    <t>Office Equip</t>
  </si>
  <si>
    <t>Audit/Prof</t>
  </si>
  <si>
    <t>Insurance</t>
  </si>
  <si>
    <t>Grass Cutting</t>
  </si>
  <si>
    <t>ranger</t>
  </si>
  <si>
    <t>Village Maintenance</t>
  </si>
  <si>
    <t>Cleaning</t>
  </si>
  <si>
    <t>Maintenance</t>
  </si>
  <si>
    <t>Water</t>
  </si>
  <si>
    <t>Electricity</t>
  </si>
  <si>
    <t>Misc.</t>
  </si>
  <si>
    <t>check</t>
  </si>
  <si>
    <t>Total expenditure</t>
  </si>
  <si>
    <t>less VAT</t>
  </si>
  <si>
    <t>Total (matches to budget total)</t>
  </si>
  <si>
    <t>Credit</t>
  </si>
  <si>
    <t>From Whom Received</t>
  </si>
  <si>
    <t>Particulars of Receipt</t>
  </si>
  <si>
    <t>Breakdown</t>
  </si>
  <si>
    <t>total</t>
  </si>
  <si>
    <t>Balance</t>
  </si>
  <si>
    <t>Precept</t>
  </si>
  <si>
    <t>Hall Hire</t>
  </si>
  <si>
    <t>Grants</t>
  </si>
  <si>
    <t>Rec Trust</t>
  </si>
  <si>
    <t>Income plus interest</t>
  </si>
  <si>
    <t>Business Reserve Interest received</t>
  </si>
  <si>
    <t>Description</t>
  </si>
  <si>
    <t>Amount £</t>
  </si>
  <si>
    <t>BANK RECONCILIATION</t>
  </si>
  <si>
    <t xml:space="preserve">Add </t>
  </si>
  <si>
    <t>Less</t>
  </si>
  <si>
    <t>Bank Reconciliation</t>
  </si>
  <si>
    <t>Current Account</t>
  </si>
  <si>
    <t>Reserve Account</t>
  </si>
  <si>
    <t>Reconciled Balance</t>
  </si>
  <si>
    <t>Budget 2017 / 2018 (Reviewed 03/05/17)</t>
  </si>
  <si>
    <t>Budget 2018 2019</t>
  </si>
  <si>
    <t>Budget YTD Review Feb 28th 2018</t>
  </si>
  <si>
    <t>% of budgeted amount spent</t>
  </si>
  <si>
    <t>New Playground Equipment</t>
  </si>
  <si>
    <t>Stamps</t>
  </si>
  <si>
    <t>Ref</t>
  </si>
  <si>
    <t>Comments on ytd 30/06/18</t>
  </si>
  <si>
    <t>external memory &amp; shredder</t>
  </si>
  <si>
    <t>Dog waste bins &amp; grit refill</t>
  </si>
  <si>
    <t>Percentage of ytd spent so far</t>
  </si>
  <si>
    <t>see earmarked funds page 2</t>
  </si>
  <si>
    <t>Cash Book opening balance -Current Account</t>
  </si>
  <si>
    <t>Cash Book opening balance - Reserve Account</t>
  </si>
  <si>
    <t>Other</t>
  </si>
  <si>
    <t>YTD Spend 2018/2019 30th June</t>
  </si>
  <si>
    <t>YTD Spend as of 30th Sept 2018</t>
  </si>
  <si>
    <t>YTD Spend as a % 30/09/2018</t>
  </si>
  <si>
    <t>Comments on ytd 30/09/2018</t>
  </si>
  <si>
    <t>Whitcross garage roof</t>
  </si>
  <si>
    <t>Ninesprings Radio</t>
  </si>
  <si>
    <t>Miscellaneous expenses</t>
  </si>
  <si>
    <t>Armistice /Soldier silhouettes</t>
  </si>
  <si>
    <t>YTD Spend as of 30th Nov 2018</t>
  </si>
  <si>
    <t>YTD Spend as a % 30/11/2018</t>
  </si>
  <si>
    <t>??</t>
  </si>
  <si>
    <t>Projected spend to 31/03/2019</t>
  </si>
  <si>
    <t>Notes</t>
  </si>
  <si>
    <t>Est VAT reclaim during year</t>
  </si>
  <si>
    <t>Est Income for year (Football pitch &amp; carpark)</t>
  </si>
  <si>
    <t>Year end Spend as of 31st March 2019</t>
  </si>
  <si>
    <t>Year end Spend as a % 31st March 2019</t>
  </si>
  <si>
    <t>The Somme</t>
  </si>
  <si>
    <t>Budget                2019 / 2020</t>
  </si>
  <si>
    <t>Less expenditure</t>
  </si>
  <si>
    <t>YTD Spend 30/06/2019</t>
  </si>
  <si>
    <t>% of budget spent 30/06/2019</t>
  </si>
  <si>
    <t>Grant to Rec Trust</t>
  </si>
  <si>
    <t>Annual parish refreshments</t>
  </si>
  <si>
    <t>YTD Spend 31/10/2019</t>
  </si>
  <si>
    <t>% of budget spent 31/10/2019</t>
  </si>
  <si>
    <t>Noticeboard /bollards</t>
  </si>
  <si>
    <t>Due Feb</t>
  </si>
  <si>
    <t>Due Feb 2020</t>
  </si>
  <si>
    <t>Whitcross Playground Safety inspection</t>
  </si>
  <si>
    <t>Estimated expenditure from 31/10 - 31/03/20</t>
  </si>
  <si>
    <t xml:space="preserve">15/hr 480/mth 5760/yr </t>
  </si>
  <si>
    <t>18/mt w/home</t>
  </si>
  <si>
    <t>83/mth</t>
  </si>
  <si>
    <t>2 quarters to bill</t>
  </si>
  <si>
    <t>280.06/mth</t>
  </si>
  <si>
    <t>Fence</t>
  </si>
  <si>
    <t>160/qtr new boiler</t>
  </si>
  <si>
    <t>2 further editions</t>
  </si>
  <si>
    <t>with village maint.</t>
  </si>
  <si>
    <t>Notes on actual / estimated spend 31/10/19</t>
  </si>
  <si>
    <t>put in Rec Trust Grant</t>
  </si>
  <si>
    <t>Accounts separate to BSPC</t>
  </si>
  <si>
    <t>Rec Trust expenditure 2019/20</t>
  </si>
  <si>
    <t>2020/21</t>
  </si>
  <si>
    <t>Rough Rec Trust budget 2020/21</t>
  </si>
  <si>
    <t>Year end spend as of 31st March 2018</t>
  </si>
  <si>
    <t>Estimated year end spend as of 31st March 2020</t>
  </si>
  <si>
    <t>Estimated year end spend as of 31st March 2020 as %</t>
  </si>
  <si>
    <t>WFH</t>
  </si>
  <si>
    <t xml:space="preserve">Barwick and Stoford Parish Council </t>
  </si>
  <si>
    <t>Income and Expenditure Account</t>
  </si>
  <si>
    <t>INCOME</t>
  </si>
  <si>
    <t>Grants Received</t>
  </si>
  <si>
    <t>Bank Interest</t>
  </si>
  <si>
    <t>Whitcross pitch hire</t>
  </si>
  <si>
    <t>EXPENDITURE</t>
  </si>
  <si>
    <t xml:space="preserve">Training </t>
  </si>
  <si>
    <t>Audit &amp; Professional costs</t>
  </si>
  <si>
    <t xml:space="preserve">Grass Cutting </t>
  </si>
  <si>
    <t>Whitcross Pavilion Costs</t>
  </si>
  <si>
    <t xml:space="preserve">Grants </t>
  </si>
  <si>
    <t>SURPLUS / (LOSS)</t>
  </si>
  <si>
    <t>BARWICK AND STOFORD PARISH COUNCIL</t>
  </si>
  <si>
    <t>CURRENT ASSETS</t>
  </si>
  <si>
    <t>Current account</t>
  </si>
  <si>
    <t>Deposit Account</t>
  </si>
  <si>
    <t>Less CURRENT LIABILITIES</t>
  </si>
  <si>
    <t>Uncleared cheques</t>
  </si>
  <si>
    <t>NET ASSETS</t>
  </si>
  <si>
    <t>GENERAL RESERVES</t>
  </si>
  <si>
    <t>Res balance bt fwd</t>
  </si>
  <si>
    <t>(loss)/ Profit for year</t>
  </si>
  <si>
    <t>balance c/fwd</t>
  </si>
  <si>
    <t>GRANTS TO REC TRUST</t>
  </si>
  <si>
    <t>ACTUAL YEAR END 31st March 2020</t>
  </si>
  <si>
    <t>Percentage of actual cost v budget as of 31/03/2020</t>
  </si>
  <si>
    <t>Budget 2020/2021</t>
  </si>
  <si>
    <t>YTD 31st October 2020</t>
  </si>
  <si>
    <t>Renews Feb 2021</t>
  </si>
  <si>
    <t>Employer NI</t>
  </si>
  <si>
    <t>Employer Pension</t>
  </si>
  <si>
    <t>S137</t>
  </si>
  <si>
    <t>2021/22</t>
  </si>
  <si>
    <t>Village Hall project c/o 20/21</t>
  </si>
  <si>
    <t>Village Hall additional funds 21/22</t>
  </si>
  <si>
    <t>Additional funds 21/22</t>
  </si>
  <si>
    <t>Total Earmarked Funds 2021/22</t>
  </si>
  <si>
    <t>YTD 31st December 2020</t>
  </si>
  <si>
    <t>Estimated expenditure 1st Jan -31st March 2021</t>
  </si>
  <si>
    <t>Estimated expenditure Year End 31st March 2021</t>
  </si>
  <si>
    <t>Agreed additional 600 grant forbenches</t>
  </si>
  <si>
    <t xml:space="preserve">Y/E 31/03/21  Notes </t>
  </si>
  <si>
    <t>Clerk Pension</t>
  </si>
  <si>
    <t>Notes on budget 2021/22</t>
  </si>
  <si>
    <t>No quote yet &amp; wildflower</t>
  </si>
  <si>
    <t>?? Projects</t>
  </si>
  <si>
    <t>Earmark</t>
  </si>
  <si>
    <t>Trust grant</t>
  </si>
  <si>
    <t>8040 16.75/hr/40hrs</t>
  </si>
  <si>
    <t>20.3% gross salary</t>
  </si>
  <si>
    <t>Cancelled</t>
  </si>
  <si>
    <t>unlawful??</t>
  </si>
  <si>
    <t>Annual PWLB loan repayment</t>
  </si>
  <si>
    <t>Feb?</t>
  </si>
  <si>
    <t>new rate £19.5/7.4hrs/18wks</t>
  </si>
  <si>
    <t>Printed information publicising PC matters</t>
  </si>
  <si>
    <t>Parish Events</t>
  </si>
  <si>
    <t>200k over 30yrs 3%</t>
  </si>
  <si>
    <t>12000 Preferable to increase precept due to earmarking rather than loan</t>
  </si>
  <si>
    <t>£26/month wfh</t>
  </si>
  <si>
    <t>Less Earmarked funds spent - New Village Hall</t>
  </si>
  <si>
    <t>ACTUAL YEAR END SPEND 31ST MARCH 2021</t>
  </si>
  <si>
    <t>Interest received</t>
  </si>
  <si>
    <t>Plus Interest</t>
  </si>
  <si>
    <t>Budget 2021/2022</t>
  </si>
  <si>
    <t xml:space="preserve">EARMARKED New Village Hall </t>
  </si>
  <si>
    <t xml:space="preserve">Actual spend Year end 31st March 2021 as a % </t>
  </si>
  <si>
    <t>YTD Spend as %</t>
  </si>
  <si>
    <t>New printer</t>
  </si>
  <si>
    <t>credit 868.94</t>
  </si>
  <si>
    <t>All invoiced</t>
  </si>
  <si>
    <t>Litter picking equip &amp; wildflower area</t>
  </si>
  <si>
    <t>EARMARKED FUNDS SPENT YTD 31/10/21</t>
  </si>
  <si>
    <t>Precept 2021/22</t>
  </si>
  <si>
    <t>Already received</t>
  </si>
  <si>
    <t>Oct bank rec less Oct exp</t>
  </si>
  <si>
    <t>Estimated Capital in the bank 31/10/2021</t>
  </si>
  <si>
    <t>Too high but will earmark 2022/23</t>
  </si>
  <si>
    <t>YTD Figures as of 31/10/2021</t>
  </si>
  <si>
    <t>Remaining budget</t>
  </si>
  <si>
    <t xml:space="preserve">Precept </t>
  </si>
  <si>
    <t>S137 expenditure</t>
  </si>
  <si>
    <t>Estimated expenses 1/1/22-31/03/22</t>
  </si>
  <si>
    <t>Notes on YTD</t>
  </si>
  <si>
    <t>Total actual + estimated expenses for y/e 31/3/22</t>
  </si>
  <si>
    <t>End of Year % of budget spent</t>
  </si>
  <si>
    <t>current h/r 16.75</t>
  </si>
  <si>
    <t>26*12 &amp; 14.39*12</t>
  </si>
  <si>
    <t>extra hedge RS</t>
  </si>
  <si>
    <t>21.5*7.4*15</t>
  </si>
  <si>
    <t>Jubilee ?</t>
  </si>
  <si>
    <t>Earmarked</t>
  </si>
  <si>
    <t>Total V/hall earmarked funds</t>
  </si>
  <si>
    <t>Litter Picking Equipment</t>
  </si>
  <si>
    <t>Boiler timer RS 300</t>
  </si>
  <si>
    <t>community plan</t>
  </si>
  <si>
    <t>Cleaning Pavitt</t>
  </si>
  <si>
    <t>Amended from renewal notice</t>
  </si>
  <si>
    <t>CIL SSDC</t>
  </si>
  <si>
    <t>Salaries &amp; pension</t>
  </si>
  <si>
    <t>Grant to Recreational Trust</t>
  </si>
  <si>
    <t>Accrual</t>
  </si>
  <si>
    <t>Total Assets</t>
  </si>
  <si>
    <t>Total Liabilities</t>
  </si>
  <si>
    <t>Locum Clerk</t>
  </si>
  <si>
    <t>New Village Hall Project</t>
  </si>
  <si>
    <t>Barwick and Stoford Parish Council Asset Register as at 31/03/2020</t>
  </si>
  <si>
    <t>Acquired</t>
  </si>
  <si>
    <t>Unit Cost £</t>
  </si>
  <si>
    <t>Total Cost £</t>
  </si>
  <si>
    <t>Current est. resale value</t>
  </si>
  <si>
    <t>Gifted</t>
  </si>
  <si>
    <t>Grit Bins</t>
  </si>
  <si>
    <t>Dog foul bins</t>
  </si>
  <si>
    <t>Laptop</t>
  </si>
  <si>
    <t>Noticeboard for the Green</t>
  </si>
  <si>
    <t>Registered Village Green</t>
  </si>
  <si>
    <t>Gifted June 2010</t>
  </si>
  <si>
    <t>2019/20 Additions</t>
  </si>
  <si>
    <t>NONE</t>
  </si>
  <si>
    <t>2020/21 Additions</t>
  </si>
  <si>
    <t>Street light</t>
  </si>
  <si>
    <t xml:space="preserve">Bench on The Green </t>
  </si>
  <si>
    <t>Litter picking equipment</t>
  </si>
  <si>
    <t>Topsy Bin (nr. School)</t>
  </si>
  <si>
    <t xml:space="preserve">Topsy Bin (Fairhouse Rd) </t>
  </si>
  <si>
    <t>2021/22 Additions</t>
  </si>
  <si>
    <t>None</t>
  </si>
  <si>
    <t>VAT No.</t>
  </si>
  <si>
    <t>YTD Spend</t>
  </si>
  <si>
    <t>Actual Spend 31st March 2022 2021</t>
  </si>
  <si>
    <r>
      <rPr>
        <b/>
        <i/>
        <sz val="11"/>
        <color rgb="FFFF0000"/>
        <rFont val="Calibri"/>
        <family val="2"/>
        <scheme val="minor"/>
      </rPr>
      <t>Budget</t>
    </r>
    <r>
      <rPr>
        <i/>
        <sz val="11"/>
        <color rgb="FFFF0000"/>
        <rFont val="Calibri"/>
        <family val="2"/>
        <scheme val="minor"/>
      </rPr>
      <t xml:space="preserve"> </t>
    </r>
    <r>
      <rPr>
        <b/>
        <i/>
        <sz val="11"/>
        <color rgb="FFFF0000"/>
        <rFont val="Calibri"/>
        <family val="2"/>
        <scheme val="minor"/>
      </rPr>
      <t>2022/23</t>
    </r>
  </si>
  <si>
    <t>Removed 18/07/22 adopted SCC</t>
  </si>
  <si>
    <t>YTD %</t>
  </si>
  <si>
    <t>Asset</t>
  </si>
  <si>
    <t>YTD Spend to 30/12/2022</t>
  </si>
  <si>
    <t>YTD % of budget as at 30/12/2022</t>
  </si>
  <si>
    <t>SID</t>
  </si>
  <si>
    <t>Total budget / spent</t>
  </si>
  <si>
    <t xml:space="preserve">Notes on budget </t>
  </si>
  <si>
    <t>Budget 2023/24</t>
  </si>
  <si>
    <t>22.8% gross</t>
  </si>
  <si>
    <t>500 copies quarterly</t>
  </si>
  <si>
    <t>King's coronation</t>
  </si>
  <si>
    <t>The Green 24.31 + 20% &amp; Wildflower</t>
  </si>
  <si>
    <t>18.05 + 20% (Annual increase &amp; o/t)</t>
  </si>
  <si>
    <t>26*12 wfh reduced stamps Includes hall hire 25*12</t>
  </si>
  <si>
    <t>Removed</t>
  </si>
  <si>
    <t>N/a</t>
  </si>
  <si>
    <t>Village Hall project c/o 22/23</t>
  </si>
  <si>
    <t>Village Hall additional funds 23/24</t>
  </si>
  <si>
    <t>2022/23</t>
  </si>
  <si>
    <t>2023/24</t>
  </si>
  <si>
    <t>C/o 22/23</t>
  </si>
  <si>
    <t>Additional funds 23/4</t>
  </si>
  <si>
    <t>2022/23 less earmarked spent</t>
  </si>
  <si>
    <t>Estimated costs 1/1/23 - 31/3/23</t>
  </si>
  <si>
    <t>Litter Picking</t>
  </si>
  <si>
    <t>Total estimated year end spend 31/3/2023</t>
  </si>
  <si>
    <t>% Estimated cost v budget 31st March 2023</t>
  </si>
  <si>
    <t>Precept 2023/24</t>
  </si>
  <si>
    <t>Includes 50% Insurance @ £286.15, Electricity costs</t>
  </si>
  <si>
    <t>20% Pavitt not insured, combined with Rec Trust. Quote received</t>
  </si>
  <si>
    <t>homeoffice set-up</t>
  </si>
  <si>
    <t>Grant rec trust</t>
  </si>
  <si>
    <t>2 xnew emails @ £4/mth</t>
  </si>
  <si>
    <t>Estimated Capital in the bank 1/4/23</t>
  </si>
  <si>
    <t>as of 30/12/2022 less estimated exp 1/1/23 to 31/3/23</t>
  </si>
  <si>
    <t>Reserves Budget 2023/24</t>
  </si>
  <si>
    <t>?? Now grass cutting</t>
  </si>
  <si>
    <t>ytd 31/12/22</t>
  </si>
  <si>
    <t>20% + £480 Sid hours</t>
  </si>
  <si>
    <t>band d + 4.5%</t>
  </si>
  <si>
    <t>Draft Budget</t>
  </si>
  <si>
    <t xml:space="preserve">                                                                                                                                                                                                                                                                                                               </t>
  </si>
  <si>
    <t>Training</t>
  </si>
  <si>
    <t>2022/23 Additions</t>
  </si>
  <si>
    <t>Actual Spend 31st March 2023</t>
  </si>
  <si>
    <t>Dog foul bin</t>
  </si>
  <si>
    <t>50% ownership of SID</t>
  </si>
  <si>
    <t>BT Telephone box</t>
  </si>
  <si>
    <t>Refund EDF charged 21/22</t>
  </si>
  <si>
    <t>Printed material</t>
  </si>
  <si>
    <t>Parish community events</t>
  </si>
  <si>
    <t>New Assets</t>
  </si>
  <si>
    <t>Prepayment</t>
  </si>
  <si>
    <t>Less uncleared payments</t>
  </si>
  <si>
    <t>Plus uncleared receipts</t>
  </si>
  <si>
    <t>Diff</t>
  </si>
  <si>
    <t>Bank charges</t>
  </si>
  <si>
    <t>Payment from / to</t>
  </si>
  <si>
    <t>Particulars of Payment / Receipt</t>
  </si>
  <si>
    <t>Income</t>
  </si>
  <si>
    <t>Expense breakdown</t>
  </si>
  <si>
    <t>Total payment</t>
  </si>
  <si>
    <t>TOTAL</t>
  </si>
  <si>
    <t>Transfer to UT</t>
  </si>
  <si>
    <t>Unity Trust Account 20479077</t>
  </si>
  <si>
    <t>Unity Trust Account 20479080</t>
  </si>
  <si>
    <t>Unity Trust - 20479077</t>
  </si>
  <si>
    <t>Unity Trust - 20479080</t>
  </si>
  <si>
    <t>pd 22/23</t>
  </si>
  <si>
    <t>S137 Exprenditure</t>
  </si>
  <si>
    <t>Actual % spent</t>
  </si>
  <si>
    <t>School hall hire, printing, ICO</t>
  </si>
  <si>
    <t>Actual to 30th Nov 2023</t>
  </si>
  <si>
    <t>Estimated 1/11/23 - 31/3/24</t>
  </si>
  <si>
    <t>beacons</t>
  </si>
  <si>
    <t>Estimated Actual to 31/3/24</t>
  </si>
  <si>
    <t>SID &amp; batteries</t>
  </si>
  <si>
    <t>Based on 23/24 quote + 5%</t>
  </si>
  <si>
    <t>7.5*23.50*12</t>
  </si>
  <si>
    <t>Audit fees 23/24</t>
  </si>
  <si>
    <t>22.3% of gross</t>
  </si>
  <si>
    <t>Printer?</t>
  </si>
  <si>
    <t>66*21*12 +30 hrs o/t</t>
  </si>
  <si>
    <t>DAG Design</t>
  </si>
  <si>
    <t>replace Sandy Lane</t>
  </si>
  <si>
    <t>2023/24 less earmarked spent</t>
  </si>
  <si>
    <t>Precept 2024/25</t>
  </si>
  <si>
    <t>PRECEPT REQUEST  2024/25</t>
  </si>
  <si>
    <r>
      <t>(Local Government Finance Act 1992 (Section 41) - Parish/Town/City Council Precepts</t>
    </r>
    <r>
      <rPr>
        <sz val="16"/>
        <color theme="1"/>
        <rFont val="Arial"/>
        <family val="2"/>
      </rPr>
      <t>)</t>
    </r>
  </si>
  <si>
    <t>Please complete the shaded boxes</t>
  </si>
  <si>
    <t>From Precepting body</t>
  </si>
  <si>
    <t>Barwick &amp; Stoford</t>
  </si>
  <si>
    <t>The Council of the above-mentioned Parish/Town/City HEREBY GIVE YOU NOTICE that in respect of the financial year 2024/25 they will require from you the sum of (fill in below) to meet the budget requirement of the Council as calculated under Section 50 of the above Act, and they do accordingly HEREBY REQUIRE you to pay the same.</t>
  </si>
  <si>
    <t>2024/25</t>
  </si>
  <si>
    <t xml:space="preserve">Difference </t>
  </si>
  <si>
    <t>Difference %</t>
  </si>
  <si>
    <t>Tax Base</t>
  </si>
  <si>
    <t xml:space="preserve">Band D Precept </t>
  </si>
  <si>
    <t>Payment Date</t>
  </si>
  <si>
    <t xml:space="preserve">Precept requests will be paid in one instalment in April 2024. </t>
  </si>
  <si>
    <t>Precepts over £140,000</t>
  </si>
  <si>
    <t>If the Precept requirement is greater than £140,000.00 please provide details below.</t>
  </si>
  <si>
    <t>Expenditure Item/Service</t>
  </si>
  <si>
    <t>Amount</t>
  </si>
  <si>
    <t>BACS payment details</t>
  </si>
  <si>
    <t>PLEASE ENTER ONLY DETAILS WHICH HAVE CHANGED SINCE LAST YEAR</t>
  </si>
  <si>
    <t xml:space="preserve">1.   BANK DETAILS  </t>
  </si>
  <si>
    <t>Bank Name</t>
  </si>
  <si>
    <t>Sort Code</t>
  </si>
  <si>
    <t>-</t>
  </si>
  <si>
    <t>Account Number</t>
  </si>
  <si>
    <t>Account Ref/Name</t>
  </si>
  <si>
    <t>Branch Address</t>
  </si>
  <si>
    <t>2.  REMITTANCE ADVICE OF PAYMENT TO</t>
  </si>
  <si>
    <t>Clerk's name</t>
  </si>
  <si>
    <t>e-mail</t>
  </si>
  <si>
    <t>address</t>
  </si>
  <si>
    <t>Authorisation</t>
  </si>
  <si>
    <t xml:space="preserve">Authorised at the meeting of the council Held on </t>
  </si>
  <si>
    <t>date</t>
  </si>
  <si>
    <t xml:space="preserve">Authorised by </t>
  </si>
  <si>
    <t>designation</t>
  </si>
  <si>
    <t>E-Mail Address for future correspondence if preferred:</t>
  </si>
  <si>
    <t>Return Form</t>
  </si>
  <si>
    <t xml:space="preserve">Please return form to </t>
  </si>
  <si>
    <t>parish.precepts@somerset.gov.uk</t>
  </si>
  <si>
    <t>No later than (noon):</t>
  </si>
  <si>
    <t>2nd February 2024</t>
  </si>
  <si>
    <t>Please choose your authority from the drop down list</t>
  </si>
  <si>
    <t>Ashwick</t>
  </si>
  <si>
    <t>Baltonsborough</t>
  </si>
  <si>
    <t>Batcombe</t>
  </si>
  <si>
    <t>Beckington</t>
  </si>
  <si>
    <t>Berkley</t>
  </si>
  <si>
    <t>Binegar</t>
  </si>
  <si>
    <t>Buckland Dinham</t>
  </si>
  <si>
    <t>Butleigh</t>
  </si>
  <si>
    <t>Chewton Mendip</t>
  </si>
  <si>
    <t>Chilcompton</t>
  </si>
  <si>
    <t>Coleford</t>
  </si>
  <si>
    <t>Cranmore</t>
  </si>
  <si>
    <t>Croscombe</t>
  </si>
  <si>
    <t>Ditcheat</t>
  </si>
  <si>
    <t>Doulting</t>
  </si>
  <si>
    <t>Downhead</t>
  </si>
  <si>
    <t>East Pennard</t>
  </si>
  <si>
    <t>Emborough</t>
  </si>
  <si>
    <t>Evercreech</t>
  </si>
  <si>
    <t>Frome</t>
  </si>
  <si>
    <t>Glastonbury</t>
  </si>
  <si>
    <t>Godney</t>
  </si>
  <si>
    <t>Great Elm</t>
  </si>
  <si>
    <t>Hemington</t>
  </si>
  <si>
    <t>Holcombe</t>
  </si>
  <si>
    <t>Kilmersdon</t>
  </si>
  <si>
    <t>Lamyatt</t>
  </si>
  <si>
    <t>Leigh on Mendip</t>
  </si>
  <si>
    <t>Litton</t>
  </si>
  <si>
    <t>Lullington</t>
  </si>
  <si>
    <t>Lydford on Fosse</t>
  </si>
  <si>
    <t>Meare</t>
  </si>
  <si>
    <t>Mells</t>
  </si>
  <si>
    <t>Milton Clevedon</t>
  </si>
  <si>
    <t>North Wootton</t>
  </si>
  <si>
    <t>Norton St Philip</t>
  </si>
  <si>
    <t>Nunney</t>
  </si>
  <si>
    <t>Pilton</t>
  </si>
  <si>
    <t>Priddy</t>
  </si>
  <si>
    <t>Pylle</t>
  </si>
  <si>
    <t>Rode</t>
  </si>
  <si>
    <t>Rodney Stoke</t>
  </si>
  <si>
    <t>Selwood</t>
  </si>
  <si>
    <t>Sharpham</t>
  </si>
  <si>
    <t>Shepton Mallet</t>
  </si>
  <si>
    <t>St Cuthbert Out</t>
  </si>
  <si>
    <t>Stoke St Michael</t>
  </si>
  <si>
    <t>Ston Easton</t>
  </si>
  <si>
    <t>Stratton on the Fosse</t>
  </si>
  <si>
    <t>Street</t>
  </si>
  <si>
    <t>Tellisford</t>
  </si>
  <si>
    <t>Trudoxhill</t>
  </si>
  <si>
    <t>Upton Noble</t>
  </si>
  <si>
    <t>Walton</t>
  </si>
  <si>
    <t>Wanstrow</t>
  </si>
  <si>
    <t>Wells</t>
  </si>
  <si>
    <t>West Bradley</t>
  </si>
  <si>
    <t>Westbury Sub Mendip</t>
  </si>
  <si>
    <t>West Pennard</t>
  </si>
  <si>
    <t>Whatley</t>
  </si>
  <si>
    <t>Witham Friary</t>
  </si>
  <si>
    <t>Wookey</t>
  </si>
  <si>
    <t>Ashcott</t>
  </si>
  <si>
    <t>Axbridge</t>
  </si>
  <si>
    <t>Badgworth</t>
  </si>
  <si>
    <t>Bawdrip</t>
  </si>
  <si>
    <t>Berrow</t>
  </si>
  <si>
    <t>Brean</t>
  </si>
  <si>
    <t>Brent Knoll</t>
  </si>
  <si>
    <t xml:space="preserve">Bridgwater </t>
  </si>
  <si>
    <t>Bridgwater Without</t>
  </si>
  <si>
    <t>Broomfield</t>
  </si>
  <si>
    <t>Burnham-on-Sea &amp; Highbridge</t>
  </si>
  <si>
    <t>Burnham Without</t>
  </si>
  <si>
    <t>Burtle</t>
  </si>
  <si>
    <t>Cannington</t>
  </si>
  <si>
    <t>Catcott</t>
  </si>
  <si>
    <t>Chapel Allerton</t>
  </si>
  <si>
    <t>Cheddar</t>
  </si>
  <si>
    <t>Chedzoy</t>
  </si>
  <si>
    <t>Chilton Polden</t>
  </si>
  <si>
    <t>Chilton Trinity</t>
  </si>
  <si>
    <t>Compton Bishop</t>
  </si>
  <si>
    <t>Cossington</t>
  </si>
  <si>
    <t>Durleigh</t>
  </si>
  <si>
    <t>East Brent</t>
  </si>
  <si>
    <t>East Huntspill</t>
  </si>
  <si>
    <t>Edington</t>
  </si>
  <si>
    <t>Enmore</t>
  </si>
  <si>
    <t>Fiddington</t>
  </si>
  <si>
    <t>Goathurst</t>
  </si>
  <si>
    <t>Greinton</t>
  </si>
  <si>
    <t>Lympsham</t>
  </si>
  <si>
    <t>Lyng</t>
  </si>
  <si>
    <t>Mark</t>
  </si>
  <si>
    <t>Middlezoy</t>
  </si>
  <si>
    <t>Moorlinch</t>
  </si>
  <si>
    <t>Nether Stowey</t>
  </si>
  <si>
    <t>North Petherton</t>
  </si>
  <si>
    <t>Othery</t>
  </si>
  <si>
    <t>Otterhampton</t>
  </si>
  <si>
    <t>Over Stowey</t>
  </si>
  <si>
    <t>Pawlett</t>
  </si>
  <si>
    <t>Puriton</t>
  </si>
  <si>
    <t>Shapwick</t>
  </si>
  <si>
    <t>Shipham</t>
  </si>
  <si>
    <t>Spaxton</t>
  </si>
  <si>
    <t>Stawell</t>
  </si>
  <si>
    <t>Stockland Bristol</t>
  </si>
  <si>
    <t>Thurloxton</t>
  </si>
  <si>
    <t>Weare</t>
  </si>
  <si>
    <t>Wedmore</t>
  </si>
  <si>
    <t>Wembdon</t>
  </si>
  <si>
    <t>West Huntspill</t>
  </si>
  <si>
    <t>Westonzoyland</t>
  </si>
  <si>
    <t>Woolavington</t>
  </si>
  <si>
    <t>Ash Priors</t>
  </si>
  <si>
    <t>Ashbrittle</t>
  </si>
  <si>
    <t>Bathealton</t>
  </si>
  <si>
    <t>Bicknoller</t>
  </si>
  <si>
    <t>Bishops Hull</t>
  </si>
  <si>
    <t>Bishops Lydeard/Cothelstone</t>
  </si>
  <si>
    <t>Bradford on Tone</t>
  </si>
  <si>
    <t>Brompton Ralph</t>
  </si>
  <si>
    <t>Brompton Regis</t>
  </si>
  <si>
    <t>Brushford</t>
  </si>
  <si>
    <t>Burrowbridge</t>
  </si>
  <si>
    <t>Carhampton</t>
  </si>
  <si>
    <t>Cheddon Fitzpaine</t>
  </si>
  <si>
    <t>Chipstable</t>
  </si>
  <si>
    <t>Churchstanton</t>
  </si>
  <si>
    <t>Clatworthy</t>
  </si>
  <si>
    <t>Combe Florey</t>
  </si>
  <si>
    <t>Corfe</t>
  </si>
  <si>
    <t>Cotford St Luke</t>
  </si>
  <si>
    <t>Creech St Michael</t>
  </si>
  <si>
    <t>Crowcombe</t>
  </si>
  <si>
    <t>Cutcombe</t>
  </si>
  <si>
    <t>Dulverton</t>
  </si>
  <si>
    <t>Dunster</t>
  </si>
  <si>
    <t>Durston</t>
  </si>
  <si>
    <t>East Quantoxhead</t>
  </si>
  <si>
    <t>Elworthy</t>
  </si>
  <si>
    <t>Exford</t>
  </si>
  <si>
    <t>Exmoor</t>
  </si>
  <si>
    <t>Exton</t>
  </si>
  <si>
    <t>Fitzhead</t>
  </si>
  <si>
    <t>Halse</t>
  </si>
  <si>
    <t>Hatch Beauchamp</t>
  </si>
  <si>
    <t>Holford</t>
  </si>
  <si>
    <t>Huish Champflower</t>
  </si>
  <si>
    <t>Kilve</t>
  </si>
  <si>
    <t>Kingston St Mary</t>
  </si>
  <si>
    <t>Langford Budville</t>
  </si>
  <si>
    <t>Luccombe</t>
  </si>
  <si>
    <t>Luxborough</t>
  </si>
  <si>
    <t>Lydeard St Lawrence/Tolland</t>
  </si>
  <si>
    <t>Milverton</t>
  </si>
  <si>
    <t>Minehead</t>
  </si>
  <si>
    <t>Monksilver</t>
  </si>
  <si>
    <t>Neroche</t>
  </si>
  <si>
    <t>Nettlecombe</t>
  </si>
  <si>
    <t>North Curry</t>
  </si>
  <si>
    <t>Norton Fitzwarren</t>
  </si>
  <si>
    <t>Nynehead</t>
  </si>
  <si>
    <t>Oake</t>
  </si>
  <si>
    <t>Oare</t>
  </si>
  <si>
    <t>Old Cleeve</t>
  </si>
  <si>
    <t>Otterford</t>
  </si>
  <si>
    <t>Pitminster</t>
  </si>
  <si>
    <t>Porlock</t>
  </si>
  <si>
    <t>Ruishton/Thornfalcon</t>
  </si>
  <si>
    <t>Sampford Arundel</t>
  </si>
  <si>
    <t>Sampford Brett</t>
  </si>
  <si>
    <t>Selworthy and Minehead Without</t>
  </si>
  <si>
    <t>Skilgate</t>
  </si>
  <si>
    <t>Stawley</t>
  </si>
  <si>
    <t>Stogumber</t>
  </si>
  <si>
    <t>Stogursey</t>
  </si>
  <si>
    <t>Stoke St Gregory</t>
  </si>
  <si>
    <t>Stoke St Mary</t>
  </si>
  <si>
    <t>Stringston</t>
  </si>
  <si>
    <t>Taunton</t>
  </si>
  <si>
    <t>Timberscombe</t>
  </si>
  <si>
    <t>Treborough</t>
  </si>
  <si>
    <t>Trull</t>
  </si>
  <si>
    <t>Upton</t>
  </si>
  <si>
    <t>Watchet</t>
  </si>
  <si>
    <t>Wellington</t>
  </si>
  <si>
    <t>Wellington Without</t>
  </si>
  <si>
    <t>West Bagborough</t>
  </si>
  <si>
    <t>West Buckland</t>
  </si>
  <si>
    <t>West Hatch</t>
  </si>
  <si>
    <t>West Monkton</t>
  </si>
  <si>
    <t>West Quantoxhead</t>
  </si>
  <si>
    <t>Williton</t>
  </si>
  <si>
    <t>Winsford</t>
  </si>
  <si>
    <t>Withycombe</t>
  </si>
  <si>
    <t>Withypool and Hawkridge</t>
  </si>
  <si>
    <t>Wiveliscombe</t>
  </si>
  <si>
    <t>Wootton Courtenay</t>
  </si>
  <si>
    <t>Abbas and Templecombe</t>
  </si>
  <si>
    <t>Aller</t>
  </si>
  <si>
    <t>Ansford</t>
  </si>
  <si>
    <t>Ash</t>
  </si>
  <si>
    <t xml:space="preserve">Ashill </t>
  </si>
  <si>
    <t>Babcary</t>
  </si>
  <si>
    <t>Barrington</t>
  </si>
  <si>
    <t>Barton St. David</t>
  </si>
  <si>
    <t>Beercrocombe</t>
  </si>
  <si>
    <t>Bratton Seymour</t>
  </si>
  <si>
    <t>Brewham</t>
  </si>
  <si>
    <t>Broadway</t>
  </si>
  <si>
    <t>Bruton</t>
  </si>
  <si>
    <t>Brympton</t>
  </si>
  <si>
    <t>Buckland St. Mary</t>
  </si>
  <si>
    <t>Alford (Cary Moor)</t>
  </si>
  <si>
    <t>Lovington (Cary Moor)</t>
  </si>
  <si>
    <t>North Barrow (Cary Moor)</t>
  </si>
  <si>
    <t>South Barrow (Cary Moor)</t>
  </si>
  <si>
    <t>Castle Cary</t>
  </si>
  <si>
    <t>Chaffcombe</t>
  </si>
  <si>
    <t>Chard Town</t>
  </si>
  <si>
    <t>Charlton Horethorne</t>
  </si>
  <si>
    <t>Charltons (The)</t>
  </si>
  <si>
    <t>Charlton Musgrove</t>
  </si>
  <si>
    <t>Chillington</t>
  </si>
  <si>
    <t>Chilthorne Domer</t>
  </si>
  <si>
    <t>Chilton Cantelo &amp; Ashington</t>
  </si>
  <si>
    <t>Chiselborough</t>
  </si>
  <si>
    <t>Closworth</t>
  </si>
  <si>
    <t>Combe St. Nicholas</t>
  </si>
  <si>
    <t>Compton Dundon</t>
  </si>
  <si>
    <t>Compton Pauncefoot &amp; Blackford</t>
  </si>
  <si>
    <t>Corton Denham</t>
  </si>
  <si>
    <t>Crewkerne Town</t>
  </si>
  <si>
    <t>Cricket St. Thomas</t>
  </si>
  <si>
    <t>Cucklington</t>
  </si>
  <si>
    <t>Cudworth</t>
  </si>
  <si>
    <t>Curry Mallet</t>
  </si>
  <si>
    <t>Curry Rivel</t>
  </si>
  <si>
    <t>Dinnington</t>
  </si>
  <si>
    <t>Donyatt</t>
  </si>
  <si>
    <t>Dowlish Wake</t>
  </si>
  <si>
    <t>Drayton</t>
  </si>
  <si>
    <t>East Chinnock</t>
  </si>
  <si>
    <t>East Coker</t>
  </si>
  <si>
    <t>Fivehead &amp; Swell</t>
  </si>
  <si>
    <t>Hambridge &amp; Westport</t>
  </si>
  <si>
    <t>Hardington Mandeville</t>
  </si>
  <si>
    <t>Haselbury Plucknett</t>
  </si>
  <si>
    <t>Henstridge</t>
  </si>
  <si>
    <t>High Ham</t>
  </si>
  <si>
    <t>Hinton St. George</t>
  </si>
  <si>
    <t>Horsington</t>
  </si>
  <si>
    <t>Horton</t>
  </si>
  <si>
    <t>Huish Episcopi</t>
  </si>
  <si>
    <t>Ilchester</t>
  </si>
  <si>
    <t>Ilminster Town</t>
  </si>
  <si>
    <t>Ilton</t>
  </si>
  <si>
    <t>Isle Abbotts</t>
  </si>
  <si>
    <t>Isle Brewers</t>
  </si>
  <si>
    <t>Keinton Mandeville</t>
  </si>
  <si>
    <t>Kingsbury Episcopi</t>
  </si>
  <si>
    <t>Kingsdon</t>
  </si>
  <si>
    <t>Kingstone</t>
  </si>
  <si>
    <t>Kingweston</t>
  </si>
  <si>
    <t>Knowle St. Giles</t>
  </si>
  <si>
    <t>Langport</t>
  </si>
  <si>
    <t>Long Load</t>
  </si>
  <si>
    <t>Long Sutton</t>
  </si>
  <si>
    <t>Lopen</t>
  </si>
  <si>
    <t>Marston Magna</t>
  </si>
  <si>
    <t>Martock</t>
  </si>
  <si>
    <t>Merriott</t>
  </si>
  <si>
    <t>Milborne Port</t>
  </si>
  <si>
    <t>Misterton</t>
  </si>
  <si>
    <t>Montacute</t>
  </si>
  <si>
    <t>Muchelney</t>
  </si>
  <si>
    <t>Mudford</t>
  </si>
  <si>
    <t>North Cadbury</t>
  </si>
  <si>
    <t>Yarlington (North Cadbury)</t>
  </si>
  <si>
    <t>North Perrott</t>
  </si>
  <si>
    <t>Holton (North Vale)</t>
  </si>
  <si>
    <t>Maperton (North Vale)</t>
  </si>
  <si>
    <t>North Cheriton (North Vale)</t>
  </si>
  <si>
    <t>Norton sub Hamdon</t>
  </si>
  <si>
    <t>Odcombe</t>
  </si>
  <si>
    <t>Pen Selwood</t>
  </si>
  <si>
    <t>Pitcombe</t>
  </si>
  <si>
    <t>Pitney</t>
  </si>
  <si>
    <t>Puckington</t>
  </si>
  <si>
    <t>Queen Camel</t>
  </si>
  <si>
    <t>Rimpton</t>
  </si>
  <si>
    <t>Seavington St. Mary</t>
  </si>
  <si>
    <t>Seavington St. Michael</t>
  </si>
  <si>
    <t>Shepton Beauchamp</t>
  </si>
  <si>
    <t>Shepton Montague</t>
  </si>
  <si>
    <t>Somerton</t>
  </si>
  <si>
    <t xml:space="preserve">South Cadbury and Sutton Montis </t>
  </si>
  <si>
    <t>South Petherton</t>
  </si>
  <si>
    <t>Sparkford</t>
  </si>
  <si>
    <t>Stocklinch</t>
  </si>
  <si>
    <t>Stoke sub Hamdon</t>
  </si>
  <si>
    <t>Stoke Trister &amp; Bayford</t>
  </si>
  <si>
    <t>Tatworth and Forton</t>
  </si>
  <si>
    <t>Tintinhull</t>
  </si>
  <si>
    <t>Wambrook</t>
  </si>
  <si>
    <t>Wayford</t>
  </si>
  <si>
    <t>West Camel</t>
  </si>
  <si>
    <t>West &amp; Middle Chinnock</t>
  </si>
  <si>
    <t>West Coker</t>
  </si>
  <si>
    <t>West Crewkerne</t>
  </si>
  <si>
    <t>Whitelackington</t>
  </si>
  <si>
    <t>Whitestaunton</t>
  </si>
  <si>
    <t>Wincanton Town</t>
  </si>
  <si>
    <t>Winsham</t>
  </si>
  <si>
    <t xml:space="preserve">Yeovil Town </t>
  </si>
  <si>
    <t>Yeovil Without</t>
  </si>
  <si>
    <t>Yeovilton &amp; District</t>
  </si>
  <si>
    <r>
      <rPr>
        <b/>
        <i/>
        <sz val="12"/>
        <color rgb="FFFF0000"/>
        <rFont val="Calibri"/>
        <family val="2"/>
        <scheme val="minor"/>
      </rPr>
      <t>Budget</t>
    </r>
    <r>
      <rPr>
        <i/>
        <sz val="12"/>
        <color rgb="FFFF0000"/>
        <rFont val="Calibri"/>
        <family val="2"/>
        <scheme val="minor"/>
      </rPr>
      <t xml:space="preserve"> </t>
    </r>
    <r>
      <rPr>
        <b/>
        <i/>
        <sz val="12"/>
        <color rgb="FFFF0000"/>
        <rFont val="Calibri"/>
        <family val="2"/>
        <scheme val="minor"/>
      </rPr>
      <t>2022/23</t>
    </r>
  </si>
  <si>
    <t>Defibrillator Maintenance</t>
  </si>
  <si>
    <t>Budget 2024/25</t>
  </si>
  <si>
    <t>Actual Spend to 31st March 2023</t>
  </si>
  <si>
    <t>School hall hire for PC meetings</t>
  </si>
  <si>
    <t>Office expenses and consumables/subscriptions</t>
  </si>
  <si>
    <t>Locum cover</t>
  </si>
  <si>
    <t>Working from home allowance</t>
  </si>
  <si>
    <t>Printed information /publications</t>
  </si>
  <si>
    <t>Expenditure Budget</t>
  </si>
  <si>
    <t>Printing costs</t>
  </si>
  <si>
    <t>VAT Refund 23/24</t>
  </si>
  <si>
    <t>Unity Trust Account</t>
  </si>
  <si>
    <t xml:space="preserve">Unity Trust Account </t>
  </si>
  <si>
    <t>Refund EDF Charges 22/23</t>
  </si>
  <si>
    <t>Website Management</t>
  </si>
  <si>
    <t>School Hall Hire</t>
  </si>
  <si>
    <t>Interest</t>
  </si>
  <si>
    <t>Unity Trust bank charges</t>
  </si>
  <si>
    <t>Adjustment for rounding up</t>
  </si>
  <si>
    <t>All other</t>
  </si>
  <si>
    <t>Unity exp</t>
  </si>
  <si>
    <t>Natwest exp</t>
  </si>
  <si>
    <t>AGAR</t>
  </si>
  <si>
    <t>Natwest Inc</t>
  </si>
  <si>
    <t>UT Inc</t>
  </si>
  <si>
    <t>All other income</t>
  </si>
  <si>
    <t>Natwest Interest</t>
  </si>
  <si>
    <t>2023/24 Additions</t>
  </si>
  <si>
    <t>Glasdon combined bin</t>
  </si>
  <si>
    <t>D-Day Beacon (80th)</t>
  </si>
  <si>
    <t>Bank Charges (Unity Trust)</t>
  </si>
  <si>
    <t>Remembrance day silhouettes</t>
  </si>
  <si>
    <t>Actual Spend 31st March 2022</t>
  </si>
  <si>
    <t>Actual Spend to 31st March 2024</t>
  </si>
  <si>
    <t>Actual Spend 31st March 2024</t>
  </si>
  <si>
    <t>School hall hire</t>
  </si>
  <si>
    <t>Office expenses</t>
  </si>
  <si>
    <t>Opening balance as of 1st April 2024</t>
  </si>
  <si>
    <t>Barwick &amp; Stoford Parish Council - Unity Trust Bank Income &amp; Payments 2024 2025</t>
  </si>
  <si>
    <t>Barwick &amp; Stoford Parish Council - Receipts 2024 25</t>
  </si>
  <si>
    <t>BALANCE SHEET - 31 MARCH 2024</t>
  </si>
  <si>
    <t>Barwick &amp; Stoford Parish Council - Payments 2024 25</t>
  </si>
  <si>
    <t>R Sibley</t>
  </si>
  <si>
    <t>Reimburse padlock at Whitcross</t>
  </si>
  <si>
    <t>P195</t>
  </si>
  <si>
    <t>K Fullerton</t>
  </si>
  <si>
    <t>Clerk salary April 2024</t>
  </si>
  <si>
    <t>P197</t>
  </si>
  <si>
    <t>P196</t>
  </si>
  <si>
    <t>WFH April &amp; stationery reimbursement</t>
  </si>
  <si>
    <t>HMRC</t>
  </si>
  <si>
    <t>PAYE April 24</t>
  </si>
  <si>
    <t>SC Pension - Clerk April 24</t>
  </si>
  <si>
    <t>Somerset Council Pension Fund</t>
  </si>
  <si>
    <t>P198</t>
  </si>
  <si>
    <t>SLCC</t>
  </si>
  <si>
    <t>Annual Membership fee 40271</t>
  </si>
  <si>
    <t>P199</t>
  </si>
  <si>
    <t xml:space="preserve">Elan City Ltd </t>
  </si>
  <si>
    <t>Inv SAJ-UK-/2024/01626 - 1 x SID</t>
  </si>
  <si>
    <t>P200</t>
  </si>
  <si>
    <t>Octopus Energy</t>
  </si>
  <si>
    <t>01/06/23-30/06/23 (missed charges)</t>
  </si>
  <si>
    <t>P201</t>
  </si>
  <si>
    <t>DD</t>
  </si>
  <si>
    <t>01/03/23-31/03/2023</t>
  </si>
  <si>
    <t>P202</t>
  </si>
  <si>
    <t>Inv 3128 - SALC Audit training RK</t>
  </si>
  <si>
    <t>P203</t>
  </si>
  <si>
    <t>Clerk salary May 2024</t>
  </si>
  <si>
    <t>P204</t>
  </si>
  <si>
    <t>WFH May &amp; Expenses</t>
  </si>
  <si>
    <t>PAYE May 2024</t>
  </si>
  <si>
    <t>P205</t>
  </si>
  <si>
    <t>Pension May Clerk</t>
  </si>
  <si>
    <t>P206</t>
  </si>
  <si>
    <t>ElanCity Ltd</t>
  </si>
  <si>
    <t>Inv SAJ-UK/2024/01695 2x SID brackets</t>
  </si>
  <si>
    <t>P207</t>
  </si>
  <si>
    <t>Whitcross electricity April 2024</t>
  </si>
  <si>
    <t>P208</t>
  </si>
  <si>
    <t>Reimburse stationery</t>
  </si>
  <si>
    <t>BACS</t>
  </si>
  <si>
    <t>Somerset Council</t>
  </si>
  <si>
    <t>Precept 24/25</t>
  </si>
  <si>
    <t>VAT reclaim 23/24</t>
  </si>
  <si>
    <t>24/25</t>
  </si>
  <si>
    <t>Opening Balance 1 April 2024</t>
  </si>
  <si>
    <t xml:space="preserve">P Russell </t>
  </si>
  <si>
    <t>Internal Audit 2023/24</t>
  </si>
  <si>
    <t>P209</t>
  </si>
  <si>
    <t>Clerk salary June 24</t>
  </si>
  <si>
    <t>P210</t>
  </si>
  <si>
    <t>WFH June &amp; stamps</t>
  </si>
  <si>
    <t>Reimburse Royal Oak refreshment Annual Parish Mtg</t>
  </si>
  <si>
    <t>Reimburse Tesco stationery</t>
  </si>
  <si>
    <t>Reimburse TSSC Litter pick equipment (grant)</t>
  </si>
  <si>
    <t>TBA</t>
  </si>
  <si>
    <t>Pension June Clerk</t>
  </si>
  <si>
    <t>P211</t>
  </si>
  <si>
    <t>PAYE June 2024</t>
  </si>
  <si>
    <t>P212</t>
  </si>
  <si>
    <t>N Entwistle</t>
  </si>
  <si>
    <t>Reimbursement refreshments Beacon Lighting Event</t>
  </si>
  <si>
    <t>P213</t>
  </si>
  <si>
    <t>BSCC</t>
  </si>
  <si>
    <t>Word Around the Village - 2 editions</t>
  </si>
  <si>
    <t>P214</t>
  </si>
  <si>
    <t>Electricity Whitcross May 2024</t>
  </si>
  <si>
    <t>P215</t>
  </si>
  <si>
    <t>Reimburse Screwfix InvA18179927726 SID battery charger</t>
  </si>
  <si>
    <t>Inv3245 Cllr Essentials Part1 - RB</t>
  </si>
  <si>
    <t>P216</t>
  </si>
  <si>
    <t>Inv3221 Chairpersonship - NE</t>
  </si>
  <si>
    <t>Snell Print Ltd - A3 copies of ROW map</t>
  </si>
  <si>
    <t>UTP1</t>
  </si>
  <si>
    <t>Parish Mtg</t>
  </si>
  <si>
    <t>Stationery</t>
  </si>
  <si>
    <t>SID Battery Charger</t>
  </si>
  <si>
    <t>Litter Pick Grant</t>
  </si>
  <si>
    <t>Post Office</t>
  </si>
  <si>
    <t>Royal Oak Stoford</t>
  </si>
  <si>
    <t>Tesco</t>
  </si>
  <si>
    <t>Screwfix</t>
  </si>
  <si>
    <t xml:space="preserve">TSSC </t>
  </si>
  <si>
    <t>Snell Print Ltd</t>
  </si>
  <si>
    <t>Net salary June 24</t>
  </si>
  <si>
    <t>Empty propane bottles &amp; Plants at Whitcross</t>
  </si>
  <si>
    <t>P217</t>
  </si>
  <si>
    <t>D Higgins</t>
  </si>
  <si>
    <t>Cleaning Whitcross April 2024</t>
  </si>
  <si>
    <t>P218</t>
  </si>
  <si>
    <t>P219</t>
  </si>
  <si>
    <t>See P95 (22/23) Inv2056 - replacement chq for lost chq 002550</t>
  </si>
  <si>
    <t>Deposit</t>
  </si>
  <si>
    <t>Scottish &amp; Southern Networks</t>
  </si>
  <si>
    <t>Wayleave Fairhouse Rd</t>
  </si>
  <si>
    <t>Wayleave</t>
  </si>
  <si>
    <t>Charitable Giving</t>
  </si>
  <si>
    <t>Clifton Farm Solar Park Community Grant</t>
  </si>
  <si>
    <t>Capital sale Pavitt</t>
  </si>
  <si>
    <t>SouthWest Advocates Ltd</t>
  </si>
  <si>
    <t>Sale proceeds before solicitor costs</t>
  </si>
  <si>
    <t>South West Advocates</t>
  </si>
  <si>
    <t>Solicitor disbursments and charges for sale of Pavitt</t>
  </si>
  <si>
    <t>P220</t>
  </si>
  <si>
    <t>Legal costs Pavitt</t>
  </si>
  <si>
    <t>Clerk salary to 26th July 2024</t>
  </si>
  <si>
    <t>P221</t>
  </si>
  <si>
    <t>WFH July 2024</t>
  </si>
  <si>
    <t>PAYE July 2024</t>
  </si>
  <si>
    <t>P222</t>
  </si>
  <si>
    <t>P223</t>
  </si>
  <si>
    <t>Pension July 2024 Clerk</t>
  </si>
  <si>
    <t>Clerk salary to 26th August 2024</t>
  </si>
  <si>
    <t>P224</t>
  </si>
  <si>
    <t>Wfh August 2024</t>
  </si>
  <si>
    <t>PAYE August 2024</t>
  </si>
  <si>
    <t>P225</t>
  </si>
  <si>
    <t>Pension Aust 2024 Clerk</t>
  </si>
  <si>
    <t>P226</t>
  </si>
  <si>
    <t>Outstanding invoices 2023/24</t>
  </si>
  <si>
    <t>P227</t>
  </si>
  <si>
    <t>Whitcross electricity June 2024</t>
  </si>
  <si>
    <t>P228</t>
  </si>
  <si>
    <t>Reimburse gas bottles for Beacon event</t>
  </si>
  <si>
    <t>P229</t>
  </si>
  <si>
    <t>SAJ Electrical</t>
  </si>
  <si>
    <t>P230</t>
  </si>
  <si>
    <t>P231</t>
  </si>
  <si>
    <t>Annual Affiliation Fee 2024/25 Inv0920</t>
  </si>
  <si>
    <t>Electricity Whitcross July 2024</t>
  </si>
  <si>
    <t>P232</t>
  </si>
  <si>
    <t>Various electrical works at Whitcross Pav</t>
  </si>
  <si>
    <t>CANCELLED</t>
  </si>
  <si>
    <t>CANCELLED - SEE CHQ2677</t>
  </si>
  <si>
    <t>Clerk salary September 2024</t>
  </si>
  <si>
    <t>P233</t>
  </si>
  <si>
    <t>wfh September 2024</t>
  </si>
  <si>
    <t>M&amp;J Bowers - shredding service</t>
  </si>
  <si>
    <t>Snell Print Ltd - A3 laminated copies parish map</t>
  </si>
  <si>
    <t>Defib Store - Inv43669 defib pads x 2</t>
  </si>
  <si>
    <t>P234</t>
  </si>
  <si>
    <t>Defibrillator</t>
  </si>
  <si>
    <t>PAYE September 2024</t>
  </si>
  <si>
    <t>P235</t>
  </si>
  <si>
    <t>Clerk pension September 2024</t>
  </si>
  <si>
    <t>P236</t>
  </si>
  <si>
    <t>The Play Inspection Company Ltd</t>
  </si>
  <si>
    <t>Annual playground Insp Whitcross Inv71559</t>
  </si>
  <si>
    <t>P237</t>
  </si>
  <si>
    <t>PKF Littlejohn LLP</t>
  </si>
  <si>
    <t>P238</t>
  </si>
  <si>
    <t>Premier Landscaping</t>
  </si>
  <si>
    <t xml:space="preserve">Ranger July </t>
  </si>
  <si>
    <t>P239</t>
  </si>
  <si>
    <t>Word Around the Village - 2 pages (Sept)</t>
  </si>
  <si>
    <t>Water2business</t>
  </si>
  <si>
    <t>Whitcross water 05/3/24-4/9/24</t>
  </si>
  <si>
    <t>P240</t>
  </si>
  <si>
    <t>Cleaning Whitcross Aug &amp; Sept 2024</t>
  </si>
  <si>
    <t>P241</t>
  </si>
  <si>
    <t>Clerk salary October 2024</t>
  </si>
  <si>
    <t>P242</t>
  </si>
  <si>
    <t>Clerk reimubursements &amp; expenses wfh Oct</t>
  </si>
  <si>
    <t>Tesco paper</t>
  </si>
  <si>
    <t>PAYE October 2024</t>
  </si>
  <si>
    <t>P243</t>
  </si>
  <si>
    <t>Clerk pension October 2024</t>
  </si>
  <si>
    <t>P244</t>
  </si>
  <si>
    <t>P245</t>
  </si>
  <si>
    <t>Information Commissioner's Office</t>
  </si>
  <si>
    <t>Data Protection Registration (DD)</t>
  </si>
  <si>
    <t>P246</t>
  </si>
  <si>
    <t>St Mary Magdalene Church</t>
  </si>
  <si>
    <t>Grant 2024/25</t>
  </si>
  <si>
    <t>P247</t>
  </si>
  <si>
    <t xml:space="preserve">West Coker Parish Council </t>
  </si>
  <si>
    <t>Refund 50% ownership SID (see P200)</t>
  </si>
  <si>
    <t xml:space="preserve">Barwick &amp; Stoford Football Club </t>
  </si>
  <si>
    <t>Footy fees 22/23</t>
  </si>
  <si>
    <t>Football pitch hire</t>
  </si>
  <si>
    <t>Interest received 9080</t>
  </si>
  <si>
    <t>Account charges 9077</t>
  </si>
  <si>
    <t>UTR1</t>
  </si>
  <si>
    <t>Unity Trust 9077</t>
  </si>
  <si>
    <t>Unity Trust 9080</t>
  </si>
  <si>
    <t>UTP2</t>
  </si>
  <si>
    <t>UTR2</t>
  </si>
  <si>
    <t>Barwick and Stoford Football Club</t>
  </si>
  <si>
    <t>P248</t>
  </si>
  <si>
    <t>Whitcross Pavilion cleaning Oct 2024</t>
  </si>
  <si>
    <t>P249</t>
  </si>
  <si>
    <t>Ranger August 2024</t>
  </si>
  <si>
    <t>Clerk salary Nov 2024</t>
  </si>
  <si>
    <t>P250</t>
  </si>
  <si>
    <t xml:space="preserve">Clerk reimbursement Poppies </t>
  </si>
  <si>
    <t>Poppies remembrance</t>
  </si>
  <si>
    <t>WFH Nov</t>
  </si>
  <si>
    <t>Contribution towards popppies (P250)</t>
  </si>
  <si>
    <t>PAYE Nov</t>
  </si>
  <si>
    <t>P251</t>
  </si>
  <si>
    <t>Clerk pension Nov 2024</t>
  </si>
  <si>
    <t>P252</t>
  </si>
  <si>
    <t>Clerk salary Dec 2024</t>
  </si>
  <si>
    <t>P253</t>
  </si>
  <si>
    <t>CASH</t>
  </si>
  <si>
    <t>WFH Dec 2024</t>
  </si>
  <si>
    <t>PAYE Dec 2024</t>
  </si>
  <si>
    <t>P254</t>
  </si>
  <si>
    <t>Clerk pension Dec 2024</t>
  </si>
  <si>
    <t>P255</t>
  </si>
  <si>
    <t>P256</t>
  </si>
  <si>
    <t>P257</t>
  </si>
  <si>
    <t>Inv1224 - Move Defib at Royal Oak</t>
  </si>
  <si>
    <t>P258</t>
  </si>
  <si>
    <t>Pavilion cleaning Nov 2024</t>
  </si>
  <si>
    <t>P259</t>
  </si>
  <si>
    <t>Word Around the Village (Remebrance Edition)</t>
  </si>
  <si>
    <t>YTD Actual Spend</t>
  </si>
  <si>
    <t>Estimated Spend 1/12/24-31/3/25</t>
  </si>
  <si>
    <t>Estimated End of Year Expenditure 31/3/25</t>
  </si>
  <si>
    <t xml:space="preserve">Total </t>
  </si>
  <si>
    <t>Plus Unity Trust Expenses</t>
  </si>
  <si>
    <t>15% above £5000</t>
  </si>
  <si>
    <t>26 mthly</t>
  </si>
  <si>
    <t>New laptop?</t>
  </si>
  <si>
    <t>CANCELLED - LOST IN POST - SEE chq 002705</t>
  </si>
  <si>
    <t>External audit 23/24 InvSB20241350 Ex chq 002682 (lost in post)</t>
  </si>
  <si>
    <t>No invoices from SC</t>
  </si>
  <si>
    <t>Fairhouse &amp; Whitcross</t>
  </si>
  <si>
    <t>Ranger September &amp; Oct 2024</t>
  </si>
  <si>
    <t>Est £290 Insurance</t>
  </si>
  <si>
    <t>Using earmarked funds</t>
  </si>
  <si>
    <t>Due Jan 2024 Gov.uk website?</t>
  </si>
  <si>
    <t>16 days @ £30/hr</t>
  </si>
  <si>
    <t>4 x £40 + extra</t>
  </si>
  <si>
    <t>Depending on turnover</t>
  </si>
  <si>
    <t>£90 CAS / Church</t>
  </si>
  <si>
    <t>Bin emptying</t>
  </si>
  <si>
    <t>Bins etc.</t>
  </si>
  <si>
    <t>2 x batteries</t>
  </si>
  <si>
    <t xml:space="preserve">Plus 4% ?? </t>
  </si>
  <si>
    <t>Reserves Budget 2025/26</t>
  </si>
  <si>
    <t>Community Hub project c/o 24/25</t>
  </si>
  <si>
    <t>Community Hub spent funds 24/25</t>
  </si>
  <si>
    <t>Balance of funds 24/25</t>
  </si>
  <si>
    <t>Additional funds earmarked 25/26</t>
  </si>
  <si>
    <t>Total Community Hub as of 1/4/25</t>
  </si>
  <si>
    <t>C/o 24/25</t>
  </si>
  <si>
    <t>Additional funds 25/26</t>
  </si>
  <si>
    <t>Total Earmarked Funds 2025/26</t>
  </si>
  <si>
    <t>ytd 4/12/24</t>
  </si>
  <si>
    <t>Bank Rec30/09/2024 less Exp Oct to Nov + estimated Dec - March</t>
  </si>
  <si>
    <t>Ringfenced capital - sale of Pavitt</t>
  </si>
  <si>
    <t>Estimated Capital in the bank 1/4/25</t>
  </si>
  <si>
    <t>Ringfenced funds from sale of Pavitt</t>
  </si>
  <si>
    <t>Ringfenced funds from grant/solar farm</t>
  </si>
  <si>
    <t xml:space="preserve">Capital higher than expected due to interest/footy income </t>
  </si>
  <si>
    <t>General Village Maintenance (includes SID)</t>
  </si>
  <si>
    <t>CCTV &amp; Playground repairs</t>
  </si>
  <si>
    <t>School Liaison fund</t>
  </si>
  <si>
    <t xml:space="preserve">Interest Income </t>
  </si>
  <si>
    <t>£351461 at 2.9%</t>
  </si>
  <si>
    <t>Interest expected on ringfenced funds @ 2.9%</t>
  </si>
  <si>
    <t xml:space="preserve">All Points Fibre </t>
  </si>
  <si>
    <t>Compensation (Stoford Green)</t>
  </si>
  <si>
    <t>Electricity Whitcross 1/8 - 30/11/24</t>
  </si>
  <si>
    <t>Clerk salary Jan 26th 2025</t>
  </si>
  <si>
    <t>WFH Jan 25</t>
  </si>
  <si>
    <t>Reimburse stamps &amp; paper TESCO</t>
  </si>
  <si>
    <t>PAYE January 2025</t>
  </si>
  <si>
    <t>Clerk pension Jan 2025</t>
  </si>
  <si>
    <t>Citizens Advice Somerset</t>
  </si>
  <si>
    <t>The Elec Group Ltd</t>
  </si>
  <si>
    <t>Inv BC5214 - PAT testing Whitcross</t>
  </si>
  <si>
    <t>Inv 1344 - The Procurement Act KF</t>
  </si>
  <si>
    <t>Ranger duties Dec 2024</t>
  </si>
  <si>
    <t>UTR3</t>
  </si>
  <si>
    <t>YTD Payments (Natwest) 2024/25</t>
  </si>
  <si>
    <t>YTD Payments (Unity Trust) 2024/25</t>
  </si>
  <si>
    <t>YTD Receipts (Natwest) 2024/25</t>
  </si>
  <si>
    <t>YTD Receipts (Unity Trust) 2024/25</t>
  </si>
  <si>
    <t>Inv 30096682 Playground inspection (quarterly)</t>
  </si>
  <si>
    <t>2 dog poo bins @ whitcross weekly @ 1 general waste monthly @ £6.50 per empty</t>
  </si>
  <si>
    <t>5% on band d</t>
  </si>
  <si>
    <t>Interest due March 2026</t>
  </si>
  <si>
    <t>1st April 2025</t>
  </si>
  <si>
    <t>C/o</t>
  </si>
  <si>
    <t>Word Around the Village Dec24 - ex chq 2706</t>
  </si>
  <si>
    <t>CANCELLED - see CHQ 2716</t>
  </si>
  <si>
    <t>SOLD 2024</t>
  </si>
  <si>
    <t xml:space="preserve">Pavitt Hall </t>
  </si>
  <si>
    <t>2024/2025 Additions</t>
  </si>
  <si>
    <t>Speed Indicator Device</t>
  </si>
  <si>
    <t>Clerk salary Feb 2024</t>
  </si>
  <si>
    <t>Clerk wfh Feb 2024</t>
  </si>
  <si>
    <t>PAYE Feb 2024</t>
  </si>
  <si>
    <t>Clerk pension Feb 24</t>
  </si>
  <si>
    <t>01/01/2025-31/01/2025</t>
  </si>
  <si>
    <t>Payments</t>
  </si>
  <si>
    <t>P260</t>
  </si>
  <si>
    <t>P261</t>
  </si>
  <si>
    <t>P262</t>
  </si>
  <si>
    <t>P263</t>
  </si>
  <si>
    <t>P264</t>
  </si>
  <si>
    <t>P265</t>
  </si>
  <si>
    <t>P266</t>
  </si>
  <si>
    <t>P267</t>
  </si>
  <si>
    <t>P268</t>
  </si>
  <si>
    <t>P269</t>
  </si>
  <si>
    <t>P270</t>
  </si>
  <si>
    <t>P271</t>
  </si>
  <si>
    <t>P272</t>
  </si>
  <si>
    <t>P273</t>
  </si>
  <si>
    <t>P274</t>
  </si>
  <si>
    <t>P275</t>
  </si>
  <si>
    <t>P276</t>
  </si>
  <si>
    <t>Clerk salary March 2025</t>
  </si>
  <si>
    <t>P277</t>
  </si>
  <si>
    <t>wfh March 2025</t>
  </si>
  <si>
    <t>Planning portal (community hub) NMA</t>
  </si>
  <si>
    <t>Dell Technologies - new clerk laptop</t>
  </si>
  <si>
    <t>PAYE March 2025</t>
  </si>
  <si>
    <t>P278</t>
  </si>
  <si>
    <t>Clerk pension March 2025</t>
  </si>
  <si>
    <t>P279</t>
  </si>
  <si>
    <t>P280</t>
  </si>
  <si>
    <t>Clear Insurance Management Ltd</t>
  </si>
  <si>
    <t>Inv LCO01804 - PC &amp; Rec Trust Ins 07/02/2025-06/02/2026</t>
  </si>
  <si>
    <t>P281</t>
  </si>
  <si>
    <t>Grass cutting 2024/25 Inv 30103265</t>
  </si>
  <si>
    <t>P282</t>
  </si>
  <si>
    <t>P283</t>
  </si>
  <si>
    <t>Octopus prepayment</t>
  </si>
  <si>
    <t>Octopus refund repayment to account</t>
  </si>
  <si>
    <t>Invoice Dec Electricity</t>
  </si>
  <si>
    <t>VAT reclaim</t>
  </si>
  <si>
    <t>Invoice Jan Electricity</t>
  </si>
  <si>
    <t>01/01/2025-31/01/2025 (credit on account)</t>
  </si>
  <si>
    <t>Electricity Whitcross 01/12-31/12/24 (taken from credit on account/refund of prepayment)]</t>
  </si>
  <si>
    <t>BALANCE</t>
  </si>
  <si>
    <t>A Fenner</t>
  </si>
  <si>
    <t>Reimburse SID battery charging costs 3 yrs/weekly</t>
  </si>
  <si>
    <t>P284</t>
  </si>
  <si>
    <t>Cleaning Whitcross Jan-Mar 25</t>
  </si>
  <si>
    <t>J Excavating</t>
  </si>
  <si>
    <t>Hedge at Fairhouse Road (one side)</t>
  </si>
  <si>
    <t>P285</t>
  </si>
  <si>
    <t>Ranger January 2025</t>
  </si>
  <si>
    <t>Natwest</t>
  </si>
  <si>
    <t>Natwest Compensation (Mandate issues)</t>
  </si>
  <si>
    <t>Balance Natwest</t>
  </si>
  <si>
    <t>Balance UT</t>
  </si>
  <si>
    <t>AS of 31st March 2025</t>
  </si>
  <si>
    <t>Closing Balance 31st March 2025</t>
  </si>
  <si>
    <t>Bank balances at 31st March 2025</t>
  </si>
  <si>
    <t>UTR4</t>
  </si>
  <si>
    <t>Grant towards lawnmower reissued chq 2609 23/24</t>
  </si>
  <si>
    <t>£6 monthly if active</t>
  </si>
  <si>
    <t>Actual Spend 31/3/2025</t>
  </si>
  <si>
    <t>Budget 2025/26</t>
  </si>
  <si>
    <t>Percentage spent v budget</t>
  </si>
  <si>
    <t>new laptop</t>
  </si>
  <si>
    <t>Extra newsletter</t>
  </si>
  <si>
    <t>Church, poppies, CAS</t>
  </si>
  <si>
    <t>M&amp;J Bowers</t>
  </si>
  <si>
    <t>Somerset Council Planning Portal</t>
  </si>
  <si>
    <t>Bookers Ltd</t>
  </si>
  <si>
    <t>TSSC</t>
  </si>
  <si>
    <t>Defib Store</t>
  </si>
  <si>
    <t>Dell Technologies</t>
  </si>
  <si>
    <t>RBL Poppy Shop</t>
  </si>
  <si>
    <t>J French t/a JExcavating</t>
  </si>
  <si>
    <t>Audit  Prof</t>
  </si>
  <si>
    <t>Village Maint</t>
  </si>
  <si>
    <t>Elec</t>
  </si>
  <si>
    <t>Defib</t>
  </si>
  <si>
    <t>P286</t>
  </si>
  <si>
    <t>Year ending 31st March 2025</t>
  </si>
  <si>
    <t>BT Compensation Natwest / APFN</t>
  </si>
  <si>
    <t>Sale of Pavitt Hall</t>
  </si>
  <si>
    <t>Office costs &amp; SALC&amp;WFH</t>
  </si>
  <si>
    <t>Pavitt Hall Costs to sell</t>
  </si>
  <si>
    <t>Defibrillator running costs</t>
  </si>
  <si>
    <t>SID running costs</t>
  </si>
  <si>
    <t>VAT Refund 24/25</t>
  </si>
  <si>
    <t>Invoice Feb Electricity</t>
  </si>
  <si>
    <t>Invoice Mar Electricity</t>
  </si>
  <si>
    <t>Whitcross water 05/09-25/02/25 - chq lost replaced with chq2743</t>
  </si>
  <si>
    <t>quote 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</si>
</sst>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44" formatCode="_-&quot;£&quot;* #,##0.00_-;\-&quot;£&quot;* #,##0.00_-;_-&quot;£&quot;* &quot;-&quot;??_-;_-@_-"/>
    <numFmt numFmtId="43" formatCode="_-* #,##0.00_-;\-* #,##0.00_-;_-* &quot;-&quot;??_-;_-@_-"/>
    <numFmt numFmtId="164" formatCode="&quot;£&quot;#,##0.00"/>
    <numFmt numFmtId="165" formatCode="_-[$£-809]* #,##0.00_-;\-[$£-809]* #,##0.00_-;_-[$£-809]* &quot;-&quot;??_-;_-@_-"/>
    <numFmt numFmtId="166" formatCode="_-[$£-809]* #,##0_-;\-[$£-809]* #,##0_-;_-[$£-809]* &quot;-&quot;??_-;_-@_-"/>
    <numFmt numFmtId="167" formatCode="#,##0.00;\(#,##0.00\)"/>
    <numFmt numFmtId="168" formatCode="#,##0;\(#,##0\)"/>
  </numFmts>
  <fonts count="12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2"/>
      <color rgb="FFFF0000"/>
      <name val="Calibri"/>
      <family val="2"/>
      <scheme val="minor"/>
    </font>
    <font>
      <sz val="12"/>
      <color theme="1"/>
      <name val="Calibri"/>
      <family val="2"/>
      <scheme val="minor"/>
    </font>
    <font>
      <b/>
      <i/>
      <sz val="10"/>
      <color theme="1"/>
      <name val="Calibri"/>
      <family val="2"/>
      <scheme val="minor"/>
    </font>
    <font>
      <b/>
      <sz val="10"/>
      <color theme="1"/>
      <name val="Calibri"/>
      <family val="2"/>
      <scheme val="minor"/>
    </font>
    <font>
      <i/>
      <sz val="10"/>
      <color theme="1"/>
      <name val="Calibri"/>
      <family val="2"/>
      <scheme val="minor"/>
    </font>
    <font>
      <sz val="12"/>
      <color rgb="FFFF0000"/>
      <name val="Calibri"/>
      <family val="2"/>
      <scheme val="minor"/>
    </font>
    <font>
      <i/>
      <sz val="11"/>
      <color theme="1"/>
      <name val="Calibri"/>
      <family val="2"/>
      <scheme val="minor"/>
    </font>
    <font>
      <i/>
      <sz val="11"/>
      <color rgb="FFFF0000"/>
      <name val="Calibri"/>
      <family val="2"/>
      <scheme val="minor"/>
    </font>
    <font>
      <i/>
      <sz val="10"/>
      <color rgb="FFFF0000"/>
      <name val="Calibri"/>
      <family val="2"/>
      <scheme val="minor"/>
    </font>
    <font>
      <sz val="12"/>
      <name val="Calibri"/>
      <family val="2"/>
      <scheme val="minor"/>
    </font>
    <font>
      <u/>
      <sz val="10"/>
      <color theme="1"/>
      <name val="Calibri"/>
      <family val="2"/>
      <scheme val="minor"/>
    </font>
    <font>
      <sz val="10"/>
      <name val="Calibri"/>
      <family val="2"/>
      <scheme val="minor"/>
    </font>
    <font>
      <sz val="10"/>
      <color rgb="FFFF0000"/>
      <name val="Calibri"/>
      <family val="2"/>
      <scheme val="minor"/>
    </font>
    <font>
      <b/>
      <sz val="12"/>
      <name val="Arial"/>
      <family val="2"/>
    </font>
    <font>
      <sz val="11"/>
      <color theme="1"/>
      <name val="Arial"/>
      <family val="2"/>
    </font>
    <font>
      <sz val="8"/>
      <color theme="1"/>
      <name val="Arial"/>
      <family val="2"/>
    </font>
    <font>
      <b/>
      <sz val="8"/>
      <color theme="1"/>
      <name val="Arial"/>
      <family val="2"/>
    </font>
    <font>
      <b/>
      <sz val="8"/>
      <name val="Arial"/>
      <family val="2"/>
    </font>
    <font>
      <b/>
      <sz val="10"/>
      <name val="Arial"/>
      <family val="2"/>
    </font>
    <font>
      <sz val="10"/>
      <name val="Arial"/>
      <family val="2"/>
    </font>
    <font>
      <sz val="8"/>
      <name val="Arial"/>
      <family val="2"/>
    </font>
    <font>
      <sz val="10"/>
      <color theme="1"/>
      <name val="Arial"/>
      <family val="2"/>
    </font>
    <font>
      <u/>
      <sz val="10"/>
      <name val="Arial"/>
      <family val="2"/>
    </font>
    <font>
      <b/>
      <sz val="10"/>
      <color theme="1"/>
      <name val="Arial"/>
      <family val="2"/>
    </font>
    <font>
      <b/>
      <sz val="10"/>
      <color rgb="FFFF0000"/>
      <name val="Calibri"/>
      <family val="2"/>
      <scheme val="minor"/>
    </font>
    <font>
      <b/>
      <sz val="11"/>
      <color rgb="FFFF0000"/>
      <name val="Calibri"/>
      <family val="2"/>
      <scheme val="minor"/>
    </font>
    <font>
      <i/>
      <sz val="10"/>
      <color theme="4" tint="-0.249977111117893"/>
      <name val="Calibri"/>
      <family val="2"/>
      <scheme val="minor"/>
    </font>
    <font>
      <sz val="10"/>
      <color theme="4"/>
      <name val="Calibri"/>
      <family val="2"/>
      <scheme val="minor"/>
    </font>
    <font>
      <b/>
      <sz val="10"/>
      <color rgb="FF002060"/>
      <name val="Calibri"/>
      <family val="2"/>
      <scheme val="minor"/>
    </font>
    <font>
      <i/>
      <sz val="10"/>
      <name val="Calibri"/>
      <family val="2"/>
      <scheme val="minor"/>
    </font>
    <font>
      <u/>
      <sz val="10"/>
      <color rgb="FF002060"/>
      <name val="Calibri"/>
      <family val="2"/>
      <scheme val="minor"/>
    </font>
    <font>
      <sz val="10"/>
      <color rgb="FF002060"/>
      <name val="Calibri"/>
      <family val="2"/>
      <scheme val="minor"/>
    </font>
    <font>
      <u/>
      <sz val="11"/>
      <color theme="1"/>
      <name val="Calibri"/>
      <family val="2"/>
      <scheme val="minor"/>
    </font>
    <font>
      <b/>
      <sz val="11"/>
      <color theme="4"/>
      <name val="Calibri"/>
      <family val="2"/>
      <scheme val="minor"/>
    </font>
    <font>
      <b/>
      <sz val="10"/>
      <color theme="4"/>
      <name val="Calibri"/>
      <family val="2"/>
      <scheme val="minor"/>
    </font>
    <font>
      <sz val="11"/>
      <color theme="4"/>
      <name val="Calibri"/>
      <family val="2"/>
      <scheme val="minor"/>
    </font>
    <font>
      <u/>
      <sz val="10"/>
      <color theme="4"/>
      <name val="Calibri"/>
      <family val="2"/>
      <scheme val="minor"/>
    </font>
    <font>
      <b/>
      <i/>
      <sz val="10"/>
      <color theme="4"/>
      <name val="Calibri"/>
      <family val="2"/>
      <scheme val="minor"/>
    </font>
    <font>
      <i/>
      <sz val="10"/>
      <color theme="4"/>
      <name val="Calibri"/>
      <family val="2"/>
      <scheme val="minor"/>
    </font>
    <font>
      <b/>
      <i/>
      <sz val="10"/>
      <color rgb="FFFF0000"/>
      <name val="Calibri"/>
      <family val="2"/>
      <scheme val="minor"/>
    </font>
    <font>
      <b/>
      <u/>
      <sz val="11"/>
      <color theme="1"/>
      <name val="Calibri"/>
      <family val="2"/>
      <scheme val="minor"/>
    </font>
    <font>
      <b/>
      <i/>
      <sz val="10"/>
      <color rgb="FF0070C0"/>
      <name val="Calibri"/>
      <family val="2"/>
      <scheme val="minor"/>
    </font>
    <font>
      <i/>
      <sz val="10"/>
      <color rgb="FF0070C0"/>
      <name val="Calibri"/>
      <family val="2"/>
      <scheme val="minor"/>
    </font>
    <font>
      <sz val="11"/>
      <name val="Calibri"/>
      <family val="2"/>
      <scheme val="minor"/>
    </font>
    <font>
      <sz val="10"/>
      <color rgb="FF0070C0"/>
      <name val="Calibri"/>
      <family val="2"/>
      <scheme val="minor"/>
    </font>
    <font>
      <b/>
      <sz val="10"/>
      <color rgb="FF0070C0"/>
      <name val="Calibri"/>
      <family val="2"/>
      <scheme val="minor"/>
    </font>
    <font>
      <sz val="8"/>
      <name val="Calibri"/>
      <family val="2"/>
      <scheme val="minor"/>
    </font>
    <font>
      <b/>
      <sz val="10"/>
      <color rgb="FF00B050"/>
      <name val="Calibri"/>
      <family val="2"/>
      <scheme val="minor"/>
    </font>
    <font>
      <sz val="11"/>
      <color theme="4" tint="-0.249977111117893"/>
      <name val="Calibri"/>
      <family val="2"/>
      <scheme val="minor"/>
    </font>
    <font>
      <sz val="10"/>
      <color theme="4" tint="-0.249977111117893"/>
      <name val="Calibri"/>
      <family val="2"/>
      <scheme val="minor"/>
    </font>
    <font>
      <b/>
      <i/>
      <sz val="10"/>
      <color theme="4" tint="-0.249977111117893"/>
      <name val="Calibri"/>
      <family val="2"/>
      <scheme val="minor"/>
    </font>
    <font>
      <sz val="8"/>
      <color theme="1"/>
      <name val="Calibri"/>
      <family val="2"/>
      <scheme val="minor"/>
    </font>
    <font>
      <i/>
      <sz val="8"/>
      <color theme="4" tint="-0.249977111117893"/>
      <name val="Calibri"/>
      <family val="2"/>
      <scheme val="minor"/>
    </font>
    <font>
      <sz val="8"/>
      <color rgb="FFFF0000"/>
      <name val="Calibri"/>
      <family val="2"/>
      <scheme val="minor"/>
    </font>
    <font>
      <sz val="8"/>
      <color theme="4" tint="-0.249977111117893"/>
      <name val="Calibri"/>
      <family val="2"/>
      <scheme val="minor"/>
    </font>
    <font>
      <i/>
      <sz val="8"/>
      <color rgb="FFFF0000"/>
      <name val="Calibri"/>
      <family val="2"/>
      <scheme val="minor"/>
    </font>
    <font>
      <i/>
      <sz val="8"/>
      <name val="Calibri"/>
      <family val="2"/>
      <scheme val="minor"/>
    </font>
    <font>
      <sz val="11"/>
      <color theme="3"/>
      <name val="Calibri"/>
      <family val="2"/>
      <scheme val="minor"/>
    </font>
    <font>
      <b/>
      <sz val="18"/>
      <color rgb="FFFF0000"/>
      <name val="Calibri"/>
      <family val="2"/>
      <scheme val="minor"/>
    </font>
    <font>
      <b/>
      <i/>
      <sz val="11"/>
      <color rgb="FFFF0000"/>
      <name val="Calibri"/>
      <family val="2"/>
      <scheme val="minor"/>
    </font>
    <font>
      <i/>
      <sz val="8"/>
      <color theme="3"/>
      <name val="Calibri"/>
      <family val="2"/>
      <scheme val="minor"/>
    </font>
    <font>
      <b/>
      <sz val="8"/>
      <color rgb="FF0070C0"/>
      <name val="Calibri"/>
      <family val="2"/>
      <scheme val="minor"/>
    </font>
    <font>
      <b/>
      <i/>
      <sz val="11"/>
      <color rgb="FF0070C0"/>
      <name val="Calibri"/>
      <family val="2"/>
      <scheme val="minor"/>
    </font>
    <font>
      <i/>
      <sz val="11"/>
      <name val="Calibri"/>
      <family val="2"/>
      <scheme val="minor"/>
    </font>
    <font>
      <b/>
      <i/>
      <sz val="10"/>
      <name val="Calibri"/>
      <family val="2"/>
      <scheme val="minor"/>
    </font>
    <font>
      <i/>
      <sz val="11"/>
      <color theme="4" tint="-0.249977111117893"/>
      <name val="Calibri"/>
      <family val="2"/>
      <scheme val="minor"/>
    </font>
    <font>
      <u/>
      <sz val="12"/>
      <color theme="1"/>
      <name val="Calibri"/>
      <family val="2"/>
      <scheme val="minor"/>
    </font>
    <font>
      <i/>
      <sz val="12"/>
      <color theme="1"/>
      <name val="Calibri"/>
      <family val="2"/>
      <scheme val="minor"/>
    </font>
    <font>
      <i/>
      <sz val="12"/>
      <color rgb="FFFF0000"/>
      <name val="Calibri"/>
      <family val="2"/>
      <scheme val="minor"/>
    </font>
    <font>
      <i/>
      <sz val="12"/>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
      <b/>
      <sz val="16"/>
      <name val="Arial"/>
      <family val="2"/>
    </font>
    <font>
      <sz val="16"/>
      <color theme="1"/>
      <name val="Arial"/>
      <family val="2"/>
    </font>
    <font>
      <sz val="12"/>
      <name val="Arial"/>
      <family val="2"/>
    </font>
    <font>
      <b/>
      <sz val="16"/>
      <color theme="1"/>
      <name val="Arial"/>
      <family val="2"/>
    </font>
    <font>
      <b/>
      <sz val="14"/>
      <color indexed="9"/>
      <name val="Arial"/>
      <family val="2"/>
    </font>
    <font>
      <sz val="12"/>
      <color indexed="41"/>
      <name val="Arial"/>
      <family val="2"/>
    </font>
    <font>
      <b/>
      <sz val="12"/>
      <color indexed="8"/>
      <name val="Arial"/>
      <family val="2"/>
    </font>
    <font>
      <b/>
      <sz val="12"/>
      <color indexed="9"/>
      <name val="Arial"/>
      <family val="2"/>
    </font>
    <font>
      <sz val="12"/>
      <color theme="1"/>
      <name val="Arial"/>
      <family val="2"/>
    </font>
    <font>
      <b/>
      <sz val="14"/>
      <color theme="0"/>
      <name val="Arial"/>
      <family val="2"/>
    </font>
    <font>
      <sz val="14"/>
      <color theme="1"/>
      <name val="Arial"/>
      <family val="2"/>
    </font>
    <font>
      <sz val="14"/>
      <name val="Arial"/>
      <family val="2"/>
    </font>
    <font>
      <sz val="14"/>
      <color theme="0"/>
      <name val="Arial"/>
      <family val="2"/>
    </font>
    <font>
      <b/>
      <sz val="12"/>
      <color theme="0"/>
      <name val="Arial"/>
      <family val="2"/>
    </font>
    <font>
      <sz val="12"/>
      <color theme="0"/>
      <name val="Arial"/>
      <family val="2"/>
    </font>
    <font>
      <b/>
      <sz val="12"/>
      <color rgb="FFFF0000"/>
      <name val="Arial"/>
      <family val="2"/>
    </font>
    <font>
      <sz val="12"/>
      <color rgb="FFFF0000"/>
      <name val="Arial"/>
      <family val="2"/>
    </font>
    <font>
      <b/>
      <sz val="12"/>
      <color indexed="41"/>
      <name val="Arial"/>
      <family val="2"/>
    </font>
    <font>
      <i/>
      <sz val="12"/>
      <name val="Arial"/>
      <family val="2"/>
    </font>
    <font>
      <b/>
      <i/>
      <sz val="12"/>
      <name val="Arial"/>
      <family val="2"/>
    </font>
    <font>
      <b/>
      <i/>
      <sz val="12"/>
      <color theme="4"/>
      <name val="Calibri"/>
      <family val="2"/>
      <scheme val="minor"/>
    </font>
    <font>
      <b/>
      <sz val="12"/>
      <color theme="4"/>
      <name val="Calibri"/>
      <family val="2"/>
      <scheme val="minor"/>
    </font>
    <font>
      <b/>
      <sz val="12"/>
      <color rgb="FF002060"/>
      <name val="Calibri"/>
      <family val="2"/>
      <scheme val="minor"/>
    </font>
    <font>
      <b/>
      <i/>
      <sz val="12"/>
      <color rgb="FF0070C0"/>
      <name val="Calibri"/>
      <family val="2"/>
      <scheme val="minor"/>
    </font>
    <font>
      <b/>
      <sz val="12"/>
      <color rgb="FF0070C0"/>
      <name val="Calibri"/>
      <family val="2"/>
      <scheme val="minor"/>
    </font>
    <font>
      <b/>
      <i/>
      <sz val="12"/>
      <color rgb="FFFF0000"/>
      <name val="Calibri"/>
      <family val="2"/>
      <scheme val="minor"/>
    </font>
    <font>
      <b/>
      <sz val="12"/>
      <color rgb="FF00B050"/>
      <name val="Calibri"/>
      <family val="2"/>
      <scheme val="minor"/>
    </font>
    <font>
      <b/>
      <i/>
      <sz val="12"/>
      <color theme="4" tint="-0.249977111117893"/>
      <name val="Calibri"/>
      <family val="2"/>
      <scheme val="minor"/>
    </font>
    <font>
      <sz val="12"/>
      <color theme="4" tint="-0.249977111117893"/>
      <name val="Calibri"/>
      <family val="2"/>
      <scheme val="minor"/>
    </font>
    <font>
      <sz val="12"/>
      <color theme="3"/>
      <name val="Calibri"/>
      <family val="2"/>
      <scheme val="minor"/>
    </font>
    <font>
      <b/>
      <i/>
      <sz val="12"/>
      <name val="Calibri"/>
      <family val="2"/>
      <scheme val="minor"/>
    </font>
    <font>
      <i/>
      <sz val="12"/>
      <color theme="4"/>
      <name val="Calibri"/>
      <family val="2"/>
      <scheme val="minor"/>
    </font>
    <font>
      <sz val="12"/>
      <color theme="4"/>
      <name val="Calibri"/>
      <family val="2"/>
      <scheme val="minor"/>
    </font>
    <font>
      <i/>
      <sz val="12"/>
      <color theme="4" tint="-0.249977111117893"/>
      <name val="Calibri"/>
      <family val="2"/>
      <scheme val="minor"/>
    </font>
    <font>
      <i/>
      <sz val="12"/>
      <color rgb="FF0070C0"/>
      <name val="Calibri"/>
      <family val="2"/>
      <scheme val="minor"/>
    </font>
    <font>
      <sz val="12"/>
      <color rgb="FF0070C0"/>
      <name val="Calibri"/>
      <family val="2"/>
      <scheme val="minor"/>
    </font>
    <font>
      <b/>
      <sz val="11"/>
      <color rgb="FF0070C0"/>
      <name val="Calibri"/>
      <family val="2"/>
      <scheme val="minor"/>
    </font>
    <font>
      <sz val="11"/>
      <color rgb="FF0070C0"/>
      <name val="Calibri"/>
      <family val="2"/>
      <scheme val="minor"/>
    </font>
    <font>
      <i/>
      <sz val="9"/>
      <color theme="2" tint="-0.249977111117893"/>
      <name val="Calibri"/>
      <family val="2"/>
      <scheme val="minor"/>
    </font>
    <font>
      <b/>
      <i/>
      <sz val="9"/>
      <color theme="2" tint="-0.249977111117893"/>
      <name val="Calibri"/>
      <family val="2"/>
      <scheme val="minor"/>
    </font>
    <font>
      <b/>
      <sz val="12"/>
      <color theme="4" tint="-0.249977111117893"/>
      <name val="Calibri"/>
      <family val="2"/>
      <scheme val="minor"/>
    </font>
    <font>
      <b/>
      <sz val="10"/>
      <name val="Calibri"/>
      <family val="2"/>
      <scheme val="minor"/>
    </font>
    <font>
      <sz val="14"/>
      <color theme="1"/>
      <name val="Calibri"/>
      <family val="2"/>
      <scheme val="minor"/>
    </font>
    <font>
      <sz val="14"/>
      <name val="Calibri"/>
      <family val="2"/>
      <scheme val="minor"/>
    </font>
    <font>
      <u/>
      <sz val="14"/>
      <color theme="1"/>
      <name val="Calibri"/>
      <family val="2"/>
      <scheme val="minor"/>
    </font>
    <font>
      <sz val="10"/>
      <name val="Calibri"/>
      <family val="2"/>
    </font>
    <font>
      <b/>
      <sz val="10"/>
      <name val="Calibri"/>
      <family val="2"/>
    </font>
    <font>
      <sz val="11"/>
      <color rgb="FFFF0000"/>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1" tint="0.249977111117893"/>
        <bgColor indexed="64"/>
      </patternFill>
    </fill>
    <fill>
      <patternFill patternType="solid">
        <fgColor theme="1"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B1E5CB"/>
        <bgColor indexed="64"/>
      </patternFill>
    </fill>
    <fill>
      <patternFill patternType="solid">
        <fgColor rgb="FF339966"/>
        <bgColor indexed="64"/>
      </patternFill>
    </fill>
    <fill>
      <patternFill patternType="solid">
        <fgColor theme="0" tint="-0.249977111117893"/>
        <bgColor indexed="64"/>
      </patternFill>
    </fill>
    <fill>
      <patternFill patternType="solid">
        <fgColor rgb="FFFFC000"/>
        <bgColor indexed="64"/>
      </patternFill>
    </fill>
    <fill>
      <patternFill patternType="solid">
        <fgColor theme="5" tint="0.39997558519241921"/>
        <bgColor indexed="64"/>
      </patternFill>
    </fill>
    <fill>
      <patternFill patternType="solid">
        <fgColor theme="3"/>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76" fillId="0" borderId="0" applyNumberFormat="0" applyFill="0" applyBorder="0" applyAlignment="0" applyProtection="0"/>
  </cellStyleXfs>
  <cellXfs count="1411">
    <xf numFmtId="0" fontId="0" fillId="0" borderId="0" xfId="0"/>
    <xf numFmtId="0" fontId="0" fillId="0" borderId="0" xfId="0" applyAlignment="1">
      <alignment horizontal="center"/>
    </xf>
    <xf numFmtId="0" fontId="3" fillId="0" borderId="0" xfId="0" applyFont="1"/>
    <xf numFmtId="0" fontId="2" fillId="0" borderId="0" xfId="0" applyFont="1" applyAlignment="1">
      <alignment horizontal="center" wrapText="1"/>
    </xf>
    <xf numFmtId="0" fontId="8" fillId="0" borderId="0" xfId="0" applyFont="1"/>
    <xf numFmtId="0" fontId="4" fillId="0" borderId="4" xfId="0" applyFont="1" applyBorder="1" applyAlignment="1">
      <alignment horizontal="center" wrapText="1"/>
    </xf>
    <xf numFmtId="0" fontId="0" fillId="0" borderId="5" xfId="0" applyBorder="1"/>
    <xf numFmtId="0" fontId="7" fillId="0" borderId="0" xfId="0" applyFont="1"/>
    <xf numFmtId="0" fontId="9" fillId="0" borderId="4" xfId="0" applyFont="1" applyBorder="1" applyAlignment="1">
      <alignment horizontal="center" wrapText="1"/>
    </xf>
    <xf numFmtId="2" fontId="9" fillId="0" borderId="4" xfId="0" applyNumberFormat="1" applyFont="1" applyBorder="1" applyAlignment="1">
      <alignment horizontal="right"/>
    </xf>
    <xf numFmtId="0" fontId="0" fillId="0" borderId="4" xfId="0" applyBorder="1" applyAlignment="1">
      <alignment horizontal="center"/>
    </xf>
    <xf numFmtId="2" fontId="7" fillId="0" borderId="0" xfId="0" applyNumberFormat="1" applyFont="1" applyAlignment="1">
      <alignment horizontal="right"/>
    </xf>
    <xf numFmtId="0" fontId="0" fillId="0" borderId="10" xfId="0" applyBorder="1"/>
    <xf numFmtId="0" fontId="0" fillId="0" borderId="11" xfId="0" applyBorder="1"/>
    <xf numFmtId="0" fontId="2" fillId="0" borderId="0" xfId="0" applyFont="1"/>
    <xf numFmtId="0" fontId="3" fillId="0" borderId="2" xfId="0" applyFont="1" applyBorder="1"/>
    <xf numFmtId="0" fontId="3" fillId="4" borderId="0" xfId="0" applyFont="1" applyFill="1" applyAlignment="1">
      <alignment horizontal="center"/>
    </xf>
    <xf numFmtId="0" fontId="14" fillId="0" borderId="5" xfId="0" applyFont="1" applyBorder="1"/>
    <xf numFmtId="0" fontId="3" fillId="0" borderId="0" xfId="0" applyFont="1" applyAlignment="1">
      <alignment horizontal="center"/>
    </xf>
    <xf numFmtId="0" fontId="3" fillId="0" borderId="6" xfId="0" applyFont="1" applyBorder="1" applyAlignment="1">
      <alignment horizontal="right"/>
    </xf>
    <xf numFmtId="0" fontId="3" fillId="0" borderId="5" xfId="0" applyFont="1" applyBorder="1"/>
    <xf numFmtId="0" fontId="8" fillId="0" borderId="6" xfId="0" applyFont="1" applyBorder="1" applyAlignment="1">
      <alignment horizontal="right"/>
    </xf>
    <xf numFmtId="0" fontId="3" fillId="0" borderId="6" xfId="0" applyFont="1" applyBorder="1" applyAlignment="1">
      <alignment horizontal="center"/>
    </xf>
    <xf numFmtId="0" fontId="7" fillId="4" borderId="0" xfId="0" applyFont="1" applyFill="1"/>
    <xf numFmtId="0" fontId="7" fillId="0" borderId="5" xfId="0" applyFont="1" applyBorder="1"/>
    <xf numFmtId="2" fontId="7" fillId="0" borderId="9" xfId="0" applyNumberFormat="1" applyFont="1" applyBorder="1" applyAlignment="1">
      <alignment horizontal="right"/>
    </xf>
    <xf numFmtId="0" fontId="7" fillId="0" borderId="10" xfId="0" applyFont="1" applyBorder="1"/>
    <xf numFmtId="0" fontId="7" fillId="0" borderId="11" xfId="0" applyFont="1" applyBorder="1"/>
    <xf numFmtId="2" fontId="6" fillId="0" borderId="15" xfId="0" applyNumberFormat="1" applyFont="1" applyBorder="1" applyAlignment="1">
      <alignment horizontal="right"/>
    </xf>
    <xf numFmtId="2" fontId="12" fillId="0" borderId="0" xfId="0" applyNumberFormat="1" applyFont="1" applyAlignment="1">
      <alignment horizontal="right"/>
    </xf>
    <xf numFmtId="0" fontId="14" fillId="0" borderId="0" xfId="0" applyFont="1"/>
    <xf numFmtId="0" fontId="8" fillId="0" borderId="0" xfId="0" applyFont="1" applyAlignment="1">
      <alignment horizontal="right"/>
    </xf>
    <xf numFmtId="2" fontId="8" fillId="0" borderId="0" xfId="0" applyNumberFormat="1" applyFont="1" applyAlignment="1">
      <alignment horizontal="right"/>
    </xf>
    <xf numFmtId="2" fontId="6" fillId="0" borderId="0" xfId="0" applyNumberFormat="1" applyFont="1" applyAlignment="1">
      <alignment horizontal="right"/>
    </xf>
    <xf numFmtId="0" fontId="17" fillId="0" borderId="0" xfId="0" applyFont="1"/>
    <xf numFmtId="0" fontId="23" fillId="0" borderId="0" xfId="0" applyFont="1"/>
    <xf numFmtId="0" fontId="25" fillId="0" borderId="0" xfId="0" applyFont="1"/>
    <xf numFmtId="164" fontId="25" fillId="0" borderId="0" xfId="0" applyNumberFormat="1" applyFont="1"/>
    <xf numFmtId="4" fontId="25" fillId="0" borderId="0" xfId="0" applyNumberFormat="1" applyFont="1"/>
    <xf numFmtId="14" fontId="25" fillId="0" borderId="0" xfId="0" applyNumberFormat="1" applyFont="1"/>
    <xf numFmtId="0" fontId="22" fillId="0" borderId="0" xfId="0" applyFont="1"/>
    <xf numFmtId="2" fontId="0" fillId="0" borderId="0" xfId="0" applyNumberFormat="1"/>
    <xf numFmtId="0" fontId="22" fillId="0" borderId="0" xfId="0" applyFont="1" applyAlignment="1">
      <alignment horizontal="center"/>
    </xf>
    <xf numFmtId="2" fontId="22" fillId="0" borderId="0" xfId="0" applyNumberFormat="1" applyFont="1" applyAlignment="1">
      <alignment horizontal="center"/>
    </xf>
    <xf numFmtId="0" fontId="22" fillId="0" borderId="0" xfId="0" applyFont="1" applyAlignment="1">
      <alignment horizontal="right"/>
    </xf>
    <xf numFmtId="2" fontId="22" fillId="0" borderId="0" xfId="0" applyNumberFormat="1" applyFont="1" applyAlignment="1">
      <alignment horizontal="right"/>
    </xf>
    <xf numFmtId="14" fontId="22" fillId="0" borderId="0" xfId="0" applyNumberFormat="1" applyFont="1"/>
    <xf numFmtId="14" fontId="23" fillId="0" borderId="0" xfId="0" applyNumberFormat="1" applyFont="1"/>
    <xf numFmtId="2" fontId="23" fillId="0" borderId="0" xfId="0" applyNumberFormat="1" applyFont="1"/>
    <xf numFmtId="4" fontId="23" fillId="0" borderId="0" xfId="0" applyNumberFormat="1" applyFont="1"/>
    <xf numFmtId="14" fontId="0" fillId="0" borderId="0" xfId="0" applyNumberFormat="1"/>
    <xf numFmtId="4" fontId="0" fillId="0" borderId="0" xfId="0" applyNumberFormat="1"/>
    <xf numFmtId="14" fontId="3" fillId="0" borderId="0" xfId="0" applyNumberFormat="1" applyFont="1"/>
    <xf numFmtId="0" fontId="15" fillId="0" borderId="0" xfId="0" applyFont="1"/>
    <xf numFmtId="2" fontId="15" fillId="0" borderId="0" xfId="0" applyNumberFormat="1" applyFont="1"/>
    <xf numFmtId="14" fontId="15" fillId="0" borderId="0" xfId="0" applyNumberFormat="1" applyFont="1"/>
    <xf numFmtId="4" fontId="3" fillId="0" borderId="0" xfId="0" applyNumberFormat="1" applyFont="1"/>
    <xf numFmtId="17" fontId="22" fillId="0" borderId="0" xfId="0" applyNumberFormat="1" applyFont="1" applyAlignment="1">
      <alignment horizontal="center"/>
    </xf>
    <xf numFmtId="17" fontId="25" fillId="0" borderId="0" xfId="0" applyNumberFormat="1" applyFont="1"/>
    <xf numFmtId="4" fontId="25" fillId="0" borderId="14" xfId="0" applyNumberFormat="1" applyFont="1" applyBorder="1"/>
    <xf numFmtId="0" fontId="26" fillId="0" borderId="0" xfId="0" applyFont="1"/>
    <xf numFmtId="4" fontId="22" fillId="0" borderId="8" xfId="0" applyNumberFormat="1" applyFont="1" applyBorder="1"/>
    <xf numFmtId="165" fontId="25" fillId="0" borderId="0" xfId="0" applyNumberFormat="1" applyFont="1"/>
    <xf numFmtId="0" fontId="27" fillId="0" borderId="0" xfId="0" applyFont="1"/>
    <xf numFmtId="164" fontId="27" fillId="0" borderId="8" xfId="0" applyNumberFormat="1" applyFont="1" applyBorder="1"/>
    <xf numFmtId="0" fontId="0" fillId="0" borderId="0" xfId="0" applyAlignment="1">
      <alignment horizontal="right"/>
    </xf>
    <xf numFmtId="0" fontId="7" fillId="4" borderId="0" xfId="0" applyFont="1" applyFill="1" applyAlignment="1">
      <alignment horizontal="right"/>
    </xf>
    <xf numFmtId="0" fontId="34" fillId="0" borderId="0" xfId="0" applyFont="1"/>
    <xf numFmtId="0" fontId="35" fillId="0" borderId="0" xfId="0" applyFont="1"/>
    <xf numFmtId="0" fontId="33" fillId="0" borderId="6" xfId="0" applyFont="1" applyBorder="1" applyAlignment="1">
      <alignment horizontal="right"/>
    </xf>
    <xf numFmtId="2" fontId="15" fillId="0" borderId="6" xfId="0" applyNumberFormat="1" applyFont="1" applyBorder="1" applyAlignment="1">
      <alignment horizontal="right"/>
    </xf>
    <xf numFmtId="0" fontId="32" fillId="0" borderId="0" xfId="0" applyFont="1"/>
    <xf numFmtId="2" fontId="33" fillId="0" borderId="6" xfId="0" applyNumberFormat="1" applyFont="1" applyBorder="1" applyAlignment="1">
      <alignment horizontal="right"/>
    </xf>
    <xf numFmtId="0" fontId="16" fillId="0" borderId="0" xfId="0" applyFont="1" applyAlignment="1">
      <alignment horizontal="center"/>
    </xf>
    <xf numFmtId="0" fontId="28" fillId="0" borderId="2" xfId="0" applyFont="1" applyBorder="1"/>
    <xf numFmtId="0" fontId="16" fillId="0" borderId="11" xfId="0" applyFont="1" applyBorder="1" applyAlignment="1">
      <alignment horizontal="center"/>
    </xf>
    <xf numFmtId="0" fontId="32" fillId="0" borderId="0" xfId="0" applyFont="1" applyAlignment="1">
      <alignment wrapText="1"/>
    </xf>
    <xf numFmtId="9" fontId="31" fillId="0" borderId="4" xfId="1" applyFont="1" applyBorder="1" applyAlignment="1">
      <alignment horizontal="center"/>
    </xf>
    <xf numFmtId="165" fontId="0" fillId="3" borderId="0" xfId="0" applyNumberFormat="1" applyFill="1"/>
    <xf numFmtId="0" fontId="25" fillId="0" borderId="14" xfId="0" applyFont="1" applyBorder="1"/>
    <xf numFmtId="165" fontId="0" fillId="0" borderId="0" xfId="0" applyNumberFormat="1"/>
    <xf numFmtId="165" fontId="2" fillId="0" borderId="8" xfId="0" applyNumberFormat="1" applyFont="1" applyBorder="1"/>
    <xf numFmtId="0" fontId="10" fillId="0" borderId="0" xfId="0" applyFont="1"/>
    <xf numFmtId="4" fontId="2" fillId="0" borderId="0" xfId="0" applyNumberFormat="1" applyFont="1" applyAlignment="1">
      <alignment horizontal="right"/>
    </xf>
    <xf numFmtId="2" fontId="22" fillId="3" borderId="8" xfId="0" applyNumberFormat="1" applyFont="1" applyFill="1" applyBorder="1"/>
    <xf numFmtId="164" fontId="32" fillId="0" borderId="0" xfId="2" applyNumberFormat="1" applyFont="1"/>
    <xf numFmtId="164" fontId="32" fillId="0" borderId="4" xfId="0" applyNumberFormat="1" applyFont="1" applyBorder="1"/>
    <xf numFmtId="0" fontId="32" fillId="0" borderId="0" xfId="0" applyFont="1" applyAlignment="1">
      <alignment horizontal="center"/>
    </xf>
    <xf numFmtId="9" fontId="32" fillId="0" borderId="4" xfId="1" applyFont="1" applyBorder="1" applyAlignment="1">
      <alignment horizontal="center"/>
    </xf>
    <xf numFmtId="0" fontId="0" fillId="3" borderId="0" xfId="0" applyFill="1"/>
    <xf numFmtId="4" fontId="0" fillId="3" borderId="0" xfId="0" applyNumberFormat="1" applyFill="1" applyAlignment="1">
      <alignment horizontal="right"/>
    </xf>
    <xf numFmtId="4" fontId="2" fillId="3" borderId="0" xfId="0" applyNumberFormat="1" applyFont="1" applyFill="1" applyAlignment="1">
      <alignment horizontal="right"/>
    </xf>
    <xf numFmtId="164" fontId="38" fillId="0" borderId="5" xfId="2" applyNumberFormat="1" applyFont="1" applyBorder="1"/>
    <xf numFmtId="9" fontId="38" fillId="0" borderId="4" xfId="1" applyFont="1" applyBorder="1" applyAlignment="1">
      <alignment horizontal="center"/>
    </xf>
    <xf numFmtId="0" fontId="39" fillId="0" borderId="0" xfId="0" applyFont="1"/>
    <xf numFmtId="164" fontId="31" fillId="0" borderId="4" xfId="0" applyNumberFormat="1" applyFont="1" applyBorder="1"/>
    <xf numFmtId="164" fontId="31" fillId="0" borderId="4" xfId="1" applyNumberFormat="1" applyFont="1" applyBorder="1"/>
    <xf numFmtId="0" fontId="31" fillId="0" borderId="4" xfId="0" applyFont="1" applyBorder="1" applyAlignment="1">
      <alignment horizontal="center"/>
    </xf>
    <xf numFmtId="9" fontId="31" fillId="0" borderId="7" xfId="1" applyFont="1" applyBorder="1" applyAlignment="1">
      <alignment horizontal="center"/>
    </xf>
    <xf numFmtId="0" fontId="38" fillId="0" borderId="0" xfId="0" applyFont="1"/>
    <xf numFmtId="0" fontId="40" fillId="0" borderId="0" xfId="0" applyFont="1"/>
    <xf numFmtId="0" fontId="31" fillId="0" borderId="0" xfId="0" applyFont="1"/>
    <xf numFmtId="0" fontId="39" fillId="0" borderId="0" xfId="0" applyFont="1" applyAlignment="1">
      <alignment horizontal="center"/>
    </xf>
    <xf numFmtId="0" fontId="42" fillId="2" borderId="4" xfId="0" applyFont="1" applyFill="1" applyBorder="1" applyAlignment="1">
      <alignment horizontal="center"/>
    </xf>
    <xf numFmtId="9" fontId="42" fillId="2" borderId="4" xfId="1" applyFont="1" applyFill="1" applyBorder="1" applyAlignment="1">
      <alignment horizontal="center"/>
    </xf>
    <xf numFmtId="2" fontId="42" fillId="2" borderId="4" xfId="1" applyNumberFormat="1" applyFont="1" applyFill="1" applyBorder="1" applyAlignment="1">
      <alignment horizontal="center"/>
    </xf>
    <xf numFmtId="0" fontId="42" fillId="2" borderId="4" xfId="1" applyNumberFormat="1" applyFont="1" applyFill="1" applyBorder="1" applyAlignment="1">
      <alignment horizontal="center"/>
    </xf>
    <xf numFmtId="0" fontId="39" fillId="0" borderId="22" xfId="0" applyFont="1" applyBorder="1"/>
    <xf numFmtId="0" fontId="39" fillId="0" borderId="4" xfId="0" applyFont="1" applyBorder="1"/>
    <xf numFmtId="0" fontId="39" fillId="0" borderId="2" xfId="0" applyFont="1" applyBorder="1"/>
    <xf numFmtId="0" fontId="31" fillId="0" borderId="0" xfId="0" applyFont="1" applyAlignment="1">
      <alignment horizontal="center"/>
    </xf>
    <xf numFmtId="0" fontId="42" fillId="0" borderId="0" xfId="0" applyFont="1"/>
    <xf numFmtId="0" fontId="42" fillId="0" borderId="0" xfId="0" applyFont="1" applyAlignment="1">
      <alignment horizontal="center"/>
    </xf>
    <xf numFmtId="165" fontId="39" fillId="0" borderId="4" xfId="0" applyNumberFormat="1" applyFont="1" applyBorder="1"/>
    <xf numFmtId="0" fontId="10" fillId="0" borderId="0" xfId="0" applyFont="1" applyAlignment="1">
      <alignment wrapText="1"/>
    </xf>
    <xf numFmtId="165" fontId="39" fillId="0" borderId="22" xfId="0" applyNumberFormat="1" applyFont="1" applyBorder="1" applyAlignment="1">
      <alignment horizontal="center"/>
    </xf>
    <xf numFmtId="165" fontId="39" fillId="0" borderId="4" xfId="0" applyNumberFormat="1" applyFont="1" applyBorder="1" applyAlignment="1">
      <alignment horizontal="center"/>
    </xf>
    <xf numFmtId="165" fontId="39" fillId="0" borderId="4" xfId="1" applyNumberFormat="1" applyFont="1" applyBorder="1" applyAlignment="1">
      <alignment horizontal="center"/>
    </xf>
    <xf numFmtId="0" fontId="8" fillId="0" borderId="0" xfId="0" applyFont="1" applyAlignment="1">
      <alignment horizontal="center"/>
    </xf>
    <xf numFmtId="2" fontId="4" fillId="0" borderId="13" xfId="0" applyNumberFormat="1" applyFont="1" applyBorder="1" applyAlignment="1">
      <alignment horizontal="right"/>
    </xf>
    <xf numFmtId="0" fontId="8" fillId="2" borderId="0" xfId="0" applyFont="1" applyFill="1" applyAlignment="1">
      <alignment horizontal="center"/>
    </xf>
    <xf numFmtId="9" fontId="8" fillId="2" borderId="0" xfId="1" applyFont="1" applyFill="1" applyBorder="1" applyAlignment="1">
      <alignment horizontal="center"/>
    </xf>
    <xf numFmtId="2" fontId="8" fillId="2" borderId="0" xfId="1" applyNumberFormat="1" applyFont="1" applyFill="1" applyBorder="1" applyAlignment="1">
      <alignment horizontal="center"/>
    </xf>
    <xf numFmtId="0" fontId="8" fillId="2" borderId="0" xfId="1" applyNumberFormat="1" applyFont="1" applyFill="1" applyBorder="1" applyAlignment="1">
      <alignment horizontal="center"/>
    </xf>
    <xf numFmtId="0" fontId="0" fillId="0" borderId="11" xfId="0" applyBorder="1" applyAlignment="1">
      <alignment horizontal="center"/>
    </xf>
    <xf numFmtId="164" fontId="0" fillId="0" borderId="0" xfId="0" applyNumberFormat="1"/>
    <xf numFmtId="164" fontId="0" fillId="0" borderId="0" xfId="1" applyNumberFormat="1" applyFont="1" applyBorder="1"/>
    <xf numFmtId="164" fontId="10" fillId="0" borderId="0" xfId="1" applyNumberFormat="1" applyFont="1" applyBorder="1"/>
    <xf numFmtId="164" fontId="11" fillId="0" borderId="0" xfId="1" applyNumberFormat="1" applyFont="1" applyBorder="1"/>
    <xf numFmtId="9" fontId="39" fillId="0" borderId="0" xfId="1" applyFont="1" applyBorder="1"/>
    <xf numFmtId="9" fontId="39" fillId="0" borderId="4" xfId="1" applyFont="1" applyBorder="1"/>
    <xf numFmtId="165" fontId="23" fillId="0" borderId="0" xfId="0" applyNumberFormat="1" applyFont="1"/>
    <xf numFmtId="165" fontId="22" fillId="0" borderId="8" xfId="0" applyNumberFormat="1" applyFont="1" applyBorder="1"/>
    <xf numFmtId="165" fontId="2" fillId="0" borderId="0" xfId="0" applyNumberFormat="1" applyFont="1"/>
    <xf numFmtId="165" fontId="2" fillId="0" borderId="0" xfId="1" applyNumberFormat="1" applyFont="1" applyBorder="1"/>
    <xf numFmtId="0" fontId="44" fillId="0" borderId="0" xfId="0" applyFont="1"/>
    <xf numFmtId="0" fontId="36" fillId="0" borderId="0" xfId="0" applyFont="1"/>
    <xf numFmtId="4" fontId="0" fillId="0" borderId="0" xfId="0" applyNumberFormat="1" applyAlignment="1">
      <alignment horizontal="center"/>
    </xf>
    <xf numFmtId="4" fontId="0" fillId="0" borderId="0" xfId="0" applyNumberFormat="1" applyAlignment="1">
      <alignment horizontal="right"/>
    </xf>
    <xf numFmtId="4" fontId="0" fillId="0" borderId="14" xfId="0" applyNumberFormat="1" applyBorder="1" applyAlignment="1">
      <alignment horizontal="right"/>
    </xf>
    <xf numFmtId="0" fontId="0" fillId="3" borderId="0" xfId="0" applyFill="1" applyAlignment="1">
      <alignment horizontal="center"/>
    </xf>
    <xf numFmtId="0" fontId="39" fillId="3" borderId="0" xfId="0" applyFont="1" applyFill="1" applyAlignment="1">
      <alignment horizontal="center"/>
    </xf>
    <xf numFmtId="4" fontId="0" fillId="3" borderId="14" xfId="0" applyNumberFormat="1" applyFill="1" applyBorder="1" applyAlignment="1">
      <alignment horizontal="right"/>
    </xf>
    <xf numFmtId="0" fontId="12" fillId="0" borderId="0" xfId="0" applyFont="1" applyAlignment="1">
      <alignment horizontal="center"/>
    </xf>
    <xf numFmtId="2" fontId="33" fillId="0" borderId="0" xfId="0" applyNumberFormat="1" applyFont="1" applyAlignment="1">
      <alignment horizontal="right"/>
    </xf>
    <xf numFmtId="0" fontId="3" fillId="0" borderId="0" xfId="0" applyFont="1" applyAlignment="1">
      <alignment horizontal="right"/>
    </xf>
    <xf numFmtId="164" fontId="38" fillId="0" borderId="0" xfId="2" applyNumberFormat="1" applyFont="1" applyBorder="1"/>
    <xf numFmtId="0" fontId="38" fillId="0" borderId="0" xfId="0" applyFont="1" applyAlignment="1">
      <alignment horizontal="center"/>
    </xf>
    <xf numFmtId="165" fontId="39" fillId="0" borderId="0" xfId="0" applyNumberFormat="1" applyFont="1" applyAlignment="1">
      <alignment horizontal="center"/>
    </xf>
    <xf numFmtId="0" fontId="28" fillId="0" borderId="22" xfId="0" applyFont="1" applyBorder="1" applyAlignment="1">
      <alignment horizontal="center" wrapText="1"/>
    </xf>
    <xf numFmtId="0" fontId="5" fillId="0" borderId="0" xfId="0" applyFont="1" applyAlignment="1">
      <alignment horizontal="center" wrapText="1"/>
    </xf>
    <xf numFmtId="0" fontId="2" fillId="0" borderId="1" xfId="0" applyFont="1" applyBorder="1" applyAlignment="1">
      <alignment horizontal="center" wrapText="1"/>
    </xf>
    <xf numFmtId="0" fontId="2" fillId="0" borderId="2" xfId="0" applyFont="1" applyBorder="1" applyAlignment="1">
      <alignment horizontal="center"/>
    </xf>
    <xf numFmtId="0" fontId="6" fillId="2" borderId="2" xfId="0" applyFont="1" applyFill="1" applyBorder="1" applyAlignment="1">
      <alignment horizontal="center" wrapText="1"/>
    </xf>
    <xf numFmtId="0" fontId="41" fillId="2" borderId="22" xfId="0" applyFont="1" applyFill="1" applyBorder="1" applyAlignment="1">
      <alignment horizontal="center" wrapText="1"/>
    </xf>
    <xf numFmtId="0" fontId="2" fillId="0" borderId="2" xfId="0" applyFont="1" applyBorder="1" applyAlignment="1">
      <alignment horizontal="center" wrapText="1"/>
    </xf>
    <xf numFmtId="0" fontId="38" fillId="0" borderId="22" xfId="0" applyFont="1" applyBorder="1" applyAlignment="1">
      <alignment horizontal="center" wrapText="1"/>
    </xf>
    <xf numFmtId="0" fontId="32" fillId="0" borderId="22" xfId="0" applyFont="1" applyBorder="1" applyAlignment="1">
      <alignment wrapText="1"/>
    </xf>
    <xf numFmtId="0" fontId="32" fillId="0" borderId="22" xfId="0" applyFont="1" applyBorder="1" applyAlignment="1">
      <alignment horizontal="center" wrapText="1"/>
    </xf>
    <xf numFmtId="164" fontId="38" fillId="0" borderId="1" xfId="2" applyNumberFormat="1" applyFont="1" applyBorder="1" applyAlignment="1">
      <alignment wrapText="1"/>
    </xf>
    <xf numFmtId="0" fontId="37" fillId="0" borderId="22" xfId="0" applyFont="1" applyBorder="1" applyAlignment="1">
      <alignment horizontal="center" wrapText="1"/>
    </xf>
    <xf numFmtId="0" fontId="37" fillId="0" borderId="2" xfId="0" applyFont="1" applyBorder="1" applyAlignment="1">
      <alignment horizontal="center" wrapText="1"/>
    </xf>
    <xf numFmtId="0" fontId="4" fillId="0" borderId="22" xfId="0" applyFont="1" applyBorder="1" applyAlignment="1">
      <alignment horizontal="center" wrapText="1"/>
    </xf>
    <xf numFmtId="0" fontId="5" fillId="0" borderId="2" xfId="0" applyFont="1" applyBorder="1"/>
    <xf numFmtId="0" fontId="0" fillId="0" borderId="2" xfId="0" applyBorder="1"/>
    <xf numFmtId="0" fontId="0" fillId="0" borderId="1" xfId="0" applyBorder="1"/>
    <xf numFmtId="0" fontId="8" fillId="2" borderId="2" xfId="0" applyFont="1" applyFill="1" applyBorder="1" applyAlignment="1">
      <alignment horizontal="center"/>
    </xf>
    <xf numFmtId="0" fontId="42" fillId="2" borderId="22" xfId="0" applyFont="1" applyFill="1" applyBorder="1" applyAlignment="1">
      <alignment horizontal="center"/>
    </xf>
    <xf numFmtId="164" fontId="0" fillId="0" borderId="2" xfId="0" applyNumberFormat="1" applyBorder="1"/>
    <xf numFmtId="164" fontId="31" fillId="0" borderId="22" xfId="0" applyNumberFormat="1" applyFont="1" applyBorder="1"/>
    <xf numFmtId="9" fontId="31" fillId="0" borderId="22" xfId="1" applyFont="1" applyBorder="1" applyAlignment="1">
      <alignment horizontal="center"/>
    </xf>
    <xf numFmtId="164" fontId="32" fillId="0" borderId="22" xfId="0" applyNumberFormat="1" applyFont="1" applyBorder="1"/>
    <xf numFmtId="9" fontId="32" fillId="0" borderId="22" xfId="1" applyFont="1" applyBorder="1" applyAlignment="1">
      <alignment horizontal="center"/>
    </xf>
    <xf numFmtId="164" fontId="38" fillId="0" borderId="1" xfId="2" applyNumberFormat="1" applyFont="1" applyBorder="1"/>
    <xf numFmtId="9" fontId="38" fillId="0" borderId="22" xfId="1" applyFont="1" applyBorder="1" applyAlignment="1">
      <alignment horizontal="center"/>
    </xf>
    <xf numFmtId="9" fontId="32" fillId="0" borderId="2" xfId="1" applyFont="1" applyBorder="1"/>
    <xf numFmtId="0" fontId="10" fillId="0" borderId="2" xfId="0" applyFont="1" applyBorder="1"/>
    <xf numFmtId="9" fontId="0" fillId="0" borderId="0" xfId="0" applyNumberFormat="1"/>
    <xf numFmtId="9" fontId="0" fillId="0" borderId="0" xfId="1" applyFont="1" applyBorder="1"/>
    <xf numFmtId="9" fontId="32" fillId="0" borderId="0" xfId="1" applyFont="1" applyBorder="1"/>
    <xf numFmtId="0" fontId="5" fillId="0" borderId="0" xfId="0" applyFont="1"/>
    <xf numFmtId="2" fontId="5" fillId="0" borderId="0" xfId="0" applyNumberFormat="1" applyFont="1"/>
    <xf numFmtId="0" fontId="10" fillId="0" borderId="0" xfId="0" applyFont="1" applyAlignment="1">
      <alignment horizontal="right"/>
    </xf>
    <xf numFmtId="2" fontId="13" fillId="0" borderId="23" xfId="0" applyNumberFormat="1" applyFont="1" applyBorder="1" applyAlignment="1">
      <alignment horizontal="right"/>
    </xf>
    <xf numFmtId="9" fontId="0" fillId="0" borderId="11" xfId="0" applyNumberFormat="1" applyBorder="1"/>
    <xf numFmtId="0" fontId="2" fillId="0" borderId="24" xfId="0" applyFont="1" applyBorder="1"/>
    <xf numFmtId="9" fontId="0" fillId="0" borderId="11" xfId="1" applyFont="1" applyBorder="1"/>
    <xf numFmtId="2" fontId="8" fillId="2" borderId="23" xfId="1" applyNumberFormat="1" applyFont="1" applyFill="1" applyBorder="1" applyAlignment="1">
      <alignment horizontal="center"/>
    </xf>
    <xf numFmtId="2" fontId="41" fillId="2" borderId="7" xfId="1" applyNumberFormat="1" applyFont="1" applyFill="1" applyBorder="1" applyAlignment="1">
      <alignment horizontal="center"/>
    </xf>
    <xf numFmtId="165" fontId="2" fillId="0" borderId="23" xfId="1" applyNumberFormat="1" applyFont="1" applyBorder="1"/>
    <xf numFmtId="2" fontId="38" fillId="2" borderId="7" xfId="1" applyNumberFormat="1" applyFont="1" applyFill="1" applyBorder="1" applyAlignment="1">
      <alignment horizontal="center"/>
    </xf>
    <xf numFmtId="164" fontId="32" fillId="0" borderId="7" xfId="0" applyNumberFormat="1" applyFont="1" applyBorder="1"/>
    <xf numFmtId="9" fontId="32" fillId="0" borderId="7" xfId="1" applyFont="1" applyBorder="1" applyAlignment="1">
      <alignment horizontal="center"/>
    </xf>
    <xf numFmtId="164" fontId="38" fillId="0" borderId="24" xfId="2" applyNumberFormat="1" applyFont="1" applyBorder="1"/>
    <xf numFmtId="9" fontId="38" fillId="0" borderId="7" xfId="1" applyFont="1" applyBorder="1" applyAlignment="1">
      <alignment horizontal="center"/>
    </xf>
    <xf numFmtId="9" fontId="32" fillId="0" borderId="11" xfId="1" applyFont="1" applyBorder="1"/>
    <xf numFmtId="165" fontId="39" fillId="0" borderId="7" xfId="0" applyNumberFormat="1" applyFont="1" applyBorder="1"/>
    <xf numFmtId="9" fontId="39" fillId="0" borderId="23" xfId="1" applyFont="1" applyBorder="1"/>
    <xf numFmtId="165" fontId="39" fillId="0" borderId="7" xfId="1" applyNumberFormat="1" applyFont="1" applyBorder="1" applyAlignment="1">
      <alignment horizontal="center"/>
    </xf>
    <xf numFmtId="9" fontId="39" fillId="0" borderId="7" xfId="1" applyFont="1" applyBorder="1"/>
    <xf numFmtId="0" fontId="10" fillId="0" borderId="11" xfId="0" applyFont="1" applyBorder="1"/>
    <xf numFmtId="165" fontId="12" fillId="0" borderId="4" xfId="0" applyNumberFormat="1" applyFont="1" applyBorder="1"/>
    <xf numFmtId="165" fontId="12" fillId="0" borderId="4" xfId="1" applyNumberFormat="1" applyFont="1" applyBorder="1"/>
    <xf numFmtId="9" fontId="12" fillId="0" borderId="4" xfId="1" applyFont="1" applyBorder="1"/>
    <xf numFmtId="0" fontId="45" fillId="0" borderId="21" xfId="0" applyFont="1" applyBorder="1" applyAlignment="1">
      <alignment horizontal="center" wrapText="1"/>
    </xf>
    <xf numFmtId="165" fontId="46" fillId="0" borderId="4" xfId="1" applyNumberFormat="1" applyFont="1" applyBorder="1"/>
    <xf numFmtId="9" fontId="46" fillId="0" borderId="4" xfId="1" applyFont="1" applyBorder="1"/>
    <xf numFmtId="165" fontId="45" fillId="0" borderId="15" xfId="1" applyNumberFormat="1" applyFont="1" applyBorder="1"/>
    <xf numFmtId="9" fontId="45" fillId="0" borderId="7" xfId="1" applyFont="1" applyBorder="1"/>
    <xf numFmtId="0" fontId="47" fillId="3" borderId="0" xfId="0" applyFont="1" applyFill="1" applyAlignment="1">
      <alignment horizontal="right"/>
    </xf>
    <xf numFmtId="0" fontId="12" fillId="0" borderId="0" xfId="0" applyFont="1"/>
    <xf numFmtId="9" fontId="12" fillId="0" borderId="22" xfId="1" applyFont="1" applyBorder="1"/>
    <xf numFmtId="0" fontId="15" fillId="0" borderId="0" xfId="0" applyFont="1" applyAlignment="1">
      <alignment horizontal="center"/>
    </xf>
    <xf numFmtId="0" fontId="8" fillId="0" borderId="14" xfId="0" applyFont="1" applyBorder="1"/>
    <xf numFmtId="165" fontId="46" fillId="0" borderId="4" xfId="3" applyNumberFormat="1" applyFont="1" applyBorder="1"/>
    <xf numFmtId="0" fontId="12" fillId="0" borderId="0" xfId="1" applyNumberFormat="1" applyFont="1" applyBorder="1"/>
    <xf numFmtId="0" fontId="46" fillId="0" borderId="0" xfId="1" applyNumberFormat="1" applyFont="1" applyBorder="1"/>
    <xf numFmtId="0" fontId="45" fillId="0" borderId="0" xfId="1" applyNumberFormat="1" applyFont="1" applyBorder="1"/>
    <xf numFmtId="0" fontId="7" fillId="0" borderId="2" xfId="0" applyFont="1" applyBorder="1"/>
    <xf numFmtId="0" fontId="3" fillId="0" borderId="0" xfId="0" applyFont="1" applyAlignment="1">
      <alignment horizontal="left"/>
    </xf>
    <xf numFmtId="0" fontId="3" fillId="0" borderId="11" xfId="0" applyFont="1" applyBorder="1"/>
    <xf numFmtId="165" fontId="12" fillId="0" borderId="3" xfId="1" applyNumberFormat="1" applyFont="1" applyBorder="1"/>
    <xf numFmtId="165" fontId="12" fillId="0" borderId="6" xfId="1" applyNumberFormat="1" applyFont="1" applyBorder="1"/>
    <xf numFmtId="165" fontId="45" fillId="0" borderId="7" xfId="3" applyNumberFormat="1" applyFont="1" applyBorder="1"/>
    <xf numFmtId="165" fontId="16" fillId="0" borderId="4" xfId="0" applyNumberFormat="1" applyFont="1" applyBorder="1"/>
    <xf numFmtId="165" fontId="16" fillId="0" borderId="4" xfId="1" applyNumberFormat="1" applyFont="1" applyBorder="1"/>
    <xf numFmtId="165" fontId="48" fillId="0" borderId="4" xfId="1" applyNumberFormat="1" applyFont="1" applyBorder="1"/>
    <xf numFmtId="165" fontId="49" fillId="0" borderId="15" xfId="1" applyNumberFormat="1" applyFont="1" applyBorder="1"/>
    <xf numFmtId="9" fontId="16" fillId="0" borderId="5" xfId="1" applyFont="1" applyBorder="1"/>
    <xf numFmtId="9" fontId="48" fillId="0" borderId="5" xfId="1" applyFont="1" applyBorder="1"/>
    <xf numFmtId="9" fontId="49" fillId="0" borderId="24" xfId="1" applyFont="1" applyBorder="1"/>
    <xf numFmtId="0" fontId="28" fillId="0" borderId="21" xfId="0" applyFont="1" applyBorder="1" applyAlignment="1">
      <alignment horizontal="center" wrapText="1"/>
    </xf>
    <xf numFmtId="164" fontId="16" fillId="0" borderId="3" xfId="0" applyNumberFormat="1" applyFont="1" applyBorder="1"/>
    <xf numFmtId="164" fontId="16" fillId="0" borderId="6" xfId="1" applyNumberFormat="1" applyFont="1" applyBorder="1"/>
    <xf numFmtId="164" fontId="16" fillId="0" borderId="6" xfId="0" applyNumberFormat="1" applyFont="1" applyBorder="1"/>
    <xf numFmtId="165" fontId="28" fillId="0" borderId="15" xfId="1" applyNumberFormat="1" applyFont="1" applyBorder="1"/>
    <xf numFmtId="0" fontId="49" fillId="3" borderId="21" xfId="0" applyFont="1" applyFill="1" applyBorder="1" applyAlignment="1">
      <alignment horizontal="center" wrapText="1"/>
    </xf>
    <xf numFmtId="0" fontId="45" fillId="3" borderId="21" xfId="0" applyFont="1" applyFill="1" applyBorder="1" applyAlignment="1">
      <alignment horizontal="center" wrapText="1"/>
    </xf>
    <xf numFmtId="9" fontId="12" fillId="0" borderId="3" xfId="1" applyFont="1" applyBorder="1"/>
    <xf numFmtId="9" fontId="12" fillId="0" borderId="6" xfId="1" applyFont="1" applyBorder="1"/>
    <xf numFmtId="165" fontId="46" fillId="0" borderId="6" xfId="3" applyNumberFormat="1" applyFont="1" applyBorder="1"/>
    <xf numFmtId="165" fontId="46" fillId="0" borderId="21" xfId="3" applyNumberFormat="1" applyFont="1" applyBorder="1"/>
    <xf numFmtId="9" fontId="46" fillId="0" borderId="6" xfId="1" applyFont="1" applyBorder="1"/>
    <xf numFmtId="9" fontId="46" fillId="0" borderId="21" xfId="1" applyFont="1" applyBorder="1"/>
    <xf numFmtId="2" fontId="12" fillId="5" borderId="6" xfId="0" applyNumberFormat="1" applyFont="1" applyFill="1" applyBorder="1" applyAlignment="1">
      <alignment horizontal="right"/>
    </xf>
    <xf numFmtId="0" fontId="33" fillId="5" borderId="6" xfId="0" applyFont="1" applyFill="1" applyBorder="1" applyAlignment="1">
      <alignment horizontal="right"/>
    </xf>
    <xf numFmtId="0" fontId="28" fillId="5" borderId="28" xfId="0" applyFont="1" applyFill="1" applyBorder="1"/>
    <xf numFmtId="0" fontId="28" fillId="5" borderId="26" xfId="0" applyFont="1" applyFill="1" applyBorder="1"/>
    <xf numFmtId="0" fontId="7" fillId="5" borderId="1" xfId="0" applyFont="1" applyFill="1" applyBorder="1"/>
    <xf numFmtId="0" fontId="7" fillId="5" borderId="2" xfId="0" applyFont="1" applyFill="1" applyBorder="1"/>
    <xf numFmtId="0" fontId="3" fillId="5" borderId="5" xfId="0" applyFont="1" applyFill="1" applyBorder="1"/>
    <xf numFmtId="0" fontId="3" fillId="5" borderId="0" xfId="0" applyFont="1" applyFill="1"/>
    <xf numFmtId="0" fontId="8" fillId="5" borderId="0" xfId="0" applyFont="1" applyFill="1"/>
    <xf numFmtId="0" fontId="3" fillId="5" borderId="0" xfId="0" applyFont="1" applyFill="1" applyAlignment="1">
      <alignment horizontal="left"/>
    </xf>
    <xf numFmtId="0" fontId="16" fillId="5" borderId="0" xfId="0" applyFont="1" applyFill="1" applyAlignment="1">
      <alignment horizontal="center"/>
    </xf>
    <xf numFmtId="0" fontId="51" fillId="5" borderId="29" xfId="0" applyFont="1" applyFill="1" applyBorder="1"/>
    <xf numFmtId="0" fontId="12" fillId="5" borderId="28" xfId="0" applyFont="1" applyFill="1" applyBorder="1"/>
    <xf numFmtId="165" fontId="23" fillId="0" borderId="0" xfId="0" applyNumberFormat="1" applyFont="1" applyAlignment="1">
      <alignment horizontal="right"/>
    </xf>
    <xf numFmtId="165" fontId="2" fillId="0" borderId="17" xfId="0" applyNumberFormat="1" applyFont="1" applyBorder="1"/>
    <xf numFmtId="166" fontId="0" fillId="0" borderId="0" xfId="0" applyNumberFormat="1"/>
    <xf numFmtId="165" fontId="8" fillId="0" borderId="0" xfId="0" applyNumberFormat="1" applyFont="1"/>
    <xf numFmtId="9" fontId="8" fillId="0" borderId="0" xfId="1" applyFont="1"/>
    <xf numFmtId="9" fontId="45" fillId="3" borderId="21" xfId="1" applyFont="1" applyFill="1" applyBorder="1" applyAlignment="1">
      <alignment horizontal="center" wrapText="1"/>
    </xf>
    <xf numFmtId="165" fontId="46" fillId="0" borderId="6" xfId="1" applyNumberFormat="1" applyFont="1" applyBorder="1"/>
    <xf numFmtId="165" fontId="46" fillId="0" borderId="21" xfId="1" applyNumberFormat="1" applyFont="1" applyBorder="1"/>
    <xf numFmtId="9" fontId="8" fillId="0" borderId="0" xfId="1" applyFont="1" applyBorder="1"/>
    <xf numFmtId="165" fontId="12" fillId="0" borderId="6" xfId="1" applyNumberFormat="1" applyFont="1" applyFill="1" applyBorder="1"/>
    <xf numFmtId="0" fontId="41" fillId="3" borderId="21" xfId="0" applyFont="1" applyFill="1" applyBorder="1" applyAlignment="1">
      <alignment horizontal="center" wrapText="1"/>
    </xf>
    <xf numFmtId="0" fontId="51" fillId="5" borderId="30" xfId="0" applyFont="1" applyFill="1" applyBorder="1"/>
    <xf numFmtId="165" fontId="42" fillId="0" borderId="22" xfId="1" applyNumberFormat="1" applyFont="1" applyBorder="1"/>
    <xf numFmtId="165" fontId="42" fillId="0" borderId="4" xfId="1" applyNumberFormat="1" applyFont="1" applyBorder="1"/>
    <xf numFmtId="165" fontId="42" fillId="0" borderId="4" xfId="1" applyNumberFormat="1" applyFont="1" applyFill="1" applyBorder="1"/>
    <xf numFmtId="165" fontId="41" fillId="0" borderId="21" xfId="1" applyNumberFormat="1" applyFont="1" applyFill="1" applyBorder="1"/>
    <xf numFmtId="4" fontId="39" fillId="0" borderId="0" xfId="0" applyNumberFormat="1" applyFont="1" applyAlignment="1">
      <alignment horizontal="center"/>
    </xf>
    <xf numFmtId="4" fontId="39" fillId="0" borderId="0" xfId="0" applyNumberFormat="1" applyFont="1" applyAlignment="1">
      <alignment horizontal="right"/>
    </xf>
    <xf numFmtId="4" fontId="37" fillId="0" borderId="0" xfId="0" applyNumberFormat="1" applyFont="1" applyAlignment="1">
      <alignment horizontal="right"/>
    </xf>
    <xf numFmtId="2" fontId="8" fillId="0" borderId="0" xfId="1" applyNumberFormat="1" applyFont="1"/>
    <xf numFmtId="0" fontId="6" fillId="0" borderId="0" xfId="0" applyFont="1" applyAlignment="1">
      <alignment horizontal="center"/>
    </xf>
    <xf numFmtId="0" fontId="16" fillId="0" borderId="0" xfId="0" applyFont="1" applyAlignment="1">
      <alignment horizontal="left"/>
    </xf>
    <xf numFmtId="165" fontId="42" fillId="0" borderId="5" xfId="1" applyNumberFormat="1" applyFont="1" applyFill="1" applyBorder="1"/>
    <xf numFmtId="8" fontId="12" fillId="0" borderId="0" xfId="0" applyNumberFormat="1" applyFont="1"/>
    <xf numFmtId="165" fontId="42" fillId="0" borderId="1" xfId="1" applyNumberFormat="1" applyFont="1" applyBorder="1"/>
    <xf numFmtId="165" fontId="42" fillId="0" borderId="5" xfId="1" applyNumberFormat="1" applyFont="1" applyBorder="1"/>
    <xf numFmtId="0" fontId="33" fillId="0" borderId="0" xfId="0" applyFont="1" applyAlignment="1">
      <alignment horizontal="center"/>
    </xf>
    <xf numFmtId="165" fontId="43" fillId="0" borderId="21" xfId="1" applyNumberFormat="1" applyFont="1" applyFill="1" applyBorder="1"/>
    <xf numFmtId="2" fontId="0" fillId="0" borderId="14" xfId="0" applyNumberFormat="1" applyBorder="1"/>
    <xf numFmtId="2" fontId="2" fillId="0" borderId="0" xfId="0" applyNumberFormat="1" applyFont="1"/>
    <xf numFmtId="0" fontId="43" fillId="0" borderId="21" xfId="0" applyFont="1" applyBorder="1" applyAlignment="1">
      <alignment horizontal="center" wrapText="1"/>
    </xf>
    <xf numFmtId="0" fontId="45" fillId="0" borderId="0" xfId="0" applyFont="1" applyAlignment="1">
      <alignment horizontal="center" wrapText="1"/>
    </xf>
    <xf numFmtId="0" fontId="43" fillId="0" borderId="27" xfId="0" applyFont="1" applyBorder="1" applyAlignment="1">
      <alignment horizontal="center" wrapText="1"/>
    </xf>
    <xf numFmtId="0" fontId="51" fillId="0" borderId="16" xfId="0" applyFont="1" applyBorder="1" applyAlignment="1">
      <alignment wrapText="1"/>
    </xf>
    <xf numFmtId="0" fontId="41" fillId="0" borderId="21" xfId="0" applyFont="1" applyBorder="1" applyAlignment="1">
      <alignment horizontal="center" wrapText="1"/>
    </xf>
    <xf numFmtId="0" fontId="52" fillId="0" borderId="22" xfId="0" applyFont="1" applyBorder="1"/>
    <xf numFmtId="0" fontId="52" fillId="0" borderId="4" xfId="0" applyFont="1" applyBorder="1"/>
    <xf numFmtId="0" fontId="53" fillId="0" borderId="4" xfId="0" applyFont="1" applyBorder="1"/>
    <xf numFmtId="0" fontId="52" fillId="0" borderId="21" xfId="0" applyFont="1" applyBorder="1"/>
    <xf numFmtId="0" fontId="54" fillId="0" borderId="21" xfId="0" applyFont="1" applyBorder="1" applyAlignment="1">
      <alignment horizontal="center" wrapText="1"/>
    </xf>
    <xf numFmtId="165" fontId="30" fillId="0" borderId="22" xfId="1" applyNumberFormat="1" applyFont="1" applyBorder="1"/>
    <xf numFmtId="165" fontId="30" fillId="0" borderId="2" xfId="1" applyNumberFormat="1" applyFont="1" applyBorder="1"/>
    <xf numFmtId="165" fontId="30" fillId="0" borderId="1" xfId="1" applyNumberFormat="1" applyFont="1" applyBorder="1"/>
    <xf numFmtId="165" fontId="30" fillId="0" borderId="4" xfId="1" applyNumberFormat="1" applyFont="1" applyBorder="1"/>
    <xf numFmtId="165" fontId="30" fillId="0" borderId="0" xfId="1" applyNumberFormat="1" applyFont="1" applyBorder="1"/>
    <xf numFmtId="165" fontId="30" fillId="0" borderId="5" xfId="1" applyNumberFormat="1" applyFont="1" applyBorder="1"/>
    <xf numFmtId="165" fontId="30" fillId="0" borderId="4" xfId="1" applyNumberFormat="1" applyFont="1" applyFill="1" applyBorder="1"/>
    <xf numFmtId="165" fontId="30" fillId="0" borderId="0" xfId="1" applyNumberFormat="1" applyFont="1" applyFill="1" applyBorder="1"/>
    <xf numFmtId="165" fontId="30" fillId="0" borderId="5" xfId="1" applyNumberFormat="1" applyFont="1" applyFill="1" applyBorder="1"/>
    <xf numFmtId="9" fontId="30" fillId="0" borderId="4" xfId="1" applyFont="1" applyFill="1" applyBorder="1"/>
    <xf numFmtId="165" fontId="54" fillId="0" borderId="21" xfId="1" applyNumberFormat="1" applyFont="1" applyFill="1" applyBorder="1"/>
    <xf numFmtId="9" fontId="30" fillId="0" borderId="21" xfId="1" applyFont="1" applyFill="1" applyBorder="1"/>
    <xf numFmtId="0" fontId="52" fillId="3" borderId="21" xfId="0" applyFont="1" applyFill="1" applyBorder="1" applyAlignment="1">
      <alignment horizontal="center" wrapText="1"/>
    </xf>
    <xf numFmtId="0" fontId="55" fillId="0" borderId="0" xfId="0" applyFont="1"/>
    <xf numFmtId="0" fontId="56" fillId="0" borderId="0" xfId="0" applyFont="1"/>
    <xf numFmtId="0" fontId="57" fillId="0" borderId="0" xfId="0" applyFont="1"/>
    <xf numFmtId="9" fontId="52" fillId="0" borderId="21" xfId="1" applyFont="1" applyBorder="1"/>
    <xf numFmtId="9" fontId="52" fillId="0" borderId="22" xfId="1" applyFont="1" applyBorder="1"/>
    <xf numFmtId="9" fontId="52" fillId="0" borderId="4" xfId="1" applyFont="1" applyBorder="1"/>
    <xf numFmtId="0" fontId="58" fillId="0" borderId="0" xfId="0" applyFont="1"/>
    <xf numFmtId="0" fontId="33" fillId="5" borderId="0" xfId="0" applyFont="1" applyFill="1" applyAlignment="1">
      <alignment horizontal="center"/>
    </xf>
    <xf numFmtId="0" fontId="33" fillId="5" borderId="14" xfId="0" applyFont="1" applyFill="1" applyBorder="1" applyAlignment="1">
      <alignment horizontal="center"/>
    </xf>
    <xf numFmtId="0" fontId="59" fillId="0" borderId="0" xfId="0" applyFont="1"/>
    <xf numFmtId="14" fontId="55" fillId="0" borderId="0" xfId="0" applyNumberFormat="1" applyFont="1"/>
    <xf numFmtId="2" fontId="33" fillId="5" borderId="3" xfId="0" applyNumberFormat="1" applyFont="1" applyFill="1" applyBorder="1" applyAlignment="1">
      <alignment horizontal="right"/>
    </xf>
    <xf numFmtId="0" fontId="50" fillId="0" borderId="0" xfId="0" applyFont="1"/>
    <xf numFmtId="0" fontId="60" fillId="0" borderId="0" xfId="0" applyFont="1"/>
    <xf numFmtId="2" fontId="60" fillId="0" borderId="0" xfId="0" applyNumberFormat="1" applyFont="1"/>
    <xf numFmtId="14" fontId="50" fillId="0" borderId="0" xfId="0" applyNumberFormat="1" applyFont="1"/>
    <xf numFmtId="165" fontId="12" fillId="0" borderId="0" xfId="0" applyNumberFormat="1" applyFont="1"/>
    <xf numFmtId="0" fontId="28" fillId="0" borderId="0" xfId="0" applyFont="1"/>
    <xf numFmtId="0" fontId="33" fillId="0" borderId="0" xfId="0" applyFont="1" applyAlignment="1">
      <alignment horizontal="right"/>
    </xf>
    <xf numFmtId="0" fontId="12" fillId="0" borderId="0" xfId="0" applyFont="1" applyAlignment="1">
      <alignment horizontal="right"/>
    </xf>
    <xf numFmtId="2" fontId="15" fillId="0" borderId="0" xfId="0" applyNumberFormat="1" applyFont="1" applyAlignment="1">
      <alignment horizontal="right"/>
    </xf>
    <xf numFmtId="0" fontId="47" fillId="0" borderId="0" xfId="0" applyFont="1" applyAlignment="1">
      <alignment horizontal="right"/>
    </xf>
    <xf numFmtId="165" fontId="7" fillId="0" borderId="0" xfId="0" applyNumberFormat="1" applyFont="1"/>
    <xf numFmtId="165" fontId="52" fillId="3" borderId="21" xfId="0" applyNumberFormat="1" applyFont="1" applyFill="1" applyBorder="1" applyAlignment="1">
      <alignment horizontal="center" wrapText="1"/>
    </xf>
    <xf numFmtId="165" fontId="52" fillId="0" borderId="22" xfId="1" applyNumberFormat="1" applyFont="1" applyBorder="1"/>
    <xf numFmtId="165" fontId="52" fillId="0" borderId="4" xfId="1" applyNumberFormat="1" applyFont="1" applyBorder="1"/>
    <xf numFmtId="165" fontId="52" fillId="0" borderId="21" xfId="1" applyNumberFormat="1" applyFont="1" applyBorder="1"/>
    <xf numFmtId="0" fontId="61" fillId="3" borderId="21" xfId="0" applyFont="1" applyFill="1" applyBorder="1" applyAlignment="1">
      <alignment horizontal="center" wrapText="1"/>
    </xf>
    <xf numFmtId="9" fontId="11" fillId="0" borderId="22" xfId="1" applyFont="1" applyBorder="1"/>
    <xf numFmtId="9" fontId="11" fillId="0" borderId="4" xfId="1" applyFont="1" applyBorder="1"/>
    <xf numFmtId="165" fontId="11" fillId="0" borderId="4" xfId="1" applyNumberFormat="1" applyFont="1" applyBorder="1"/>
    <xf numFmtId="0" fontId="3" fillId="6" borderId="0" xfId="0" applyFont="1" applyFill="1"/>
    <xf numFmtId="2" fontId="9" fillId="6" borderId="4" xfId="0" applyNumberFormat="1" applyFont="1" applyFill="1" applyBorder="1" applyAlignment="1">
      <alignment horizontal="right"/>
    </xf>
    <xf numFmtId="2" fontId="5" fillId="6" borderId="0" xfId="0" applyNumberFormat="1" applyFont="1" applyFill="1"/>
    <xf numFmtId="9" fontId="0" fillId="6" borderId="0" xfId="0" applyNumberFormat="1" applyFill="1"/>
    <xf numFmtId="0" fontId="0" fillId="6" borderId="5" xfId="0" applyFill="1" applyBorder="1"/>
    <xf numFmtId="9" fontId="0" fillId="6" borderId="0" xfId="1" applyFont="1" applyFill="1" applyBorder="1"/>
    <xf numFmtId="0" fontId="8" fillId="6" borderId="0" xfId="1" applyNumberFormat="1" applyFont="1" applyFill="1" applyBorder="1" applyAlignment="1">
      <alignment horizontal="center"/>
    </xf>
    <xf numFmtId="0" fontId="42" fillId="6" borderId="4" xfId="1" applyNumberFormat="1" applyFont="1" applyFill="1" applyBorder="1" applyAlignment="1">
      <alignment horizontal="center"/>
    </xf>
    <xf numFmtId="164" fontId="10" fillId="6" borderId="0" xfId="1" applyNumberFormat="1" applyFont="1" applyFill="1" applyBorder="1"/>
    <xf numFmtId="164" fontId="31" fillId="6" borderId="4" xfId="1" applyNumberFormat="1" applyFont="1" applyFill="1" applyBorder="1"/>
    <xf numFmtId="9" fontId="31" fillId="6" borderId="4" xfId="1" applyFont="1" applyFill="1" applyBorder="1" applyAlignment="1">
      <alignment horizontal="center"/>
    </xf>
    <xf numFmtId="164" fontId="32" fillId="6" borderId="4" xfId="0" applyNumberFormat="1" applyFont="1" applyFill="1" applyBorder="1"/>
    <xf numFmtId="9" fontId="32" fillId="6" borderId="4" xfId="1" applyFont="1" applyFill="1" applyBorder="1" applyAlignment="1">
      <alignment horizontal="center"/>
    </xf>
    <xf numFmtId="164" fontId="38" fillId="6" borderId="5" xfId="2" applyNumberFormat="1" applyFont="1" applyFill="1" applyBorder="1"/>
    <xf numFmtId="9" fontId="38" fillId="6" borderId="4" xfId="1" applyFont="1" applyFill="1" applyBorder="1" applyAlignment="1">
      <alignment horizontal="center"/>
    </xf>
    <xf numFmtId="9" fontId="32" fillId="6" borderId="0" xfId="1" applyFont="1" applyFill="1" applyBorder="1"/>
    <xf numFmtId="0" fontId="0" fillId="6" borderId="0" xfId="0" applyFill="1"/>
    <xf numFmtId="165" fontId="39" fillId="6" borderId="4" xfId="0" applyNumberFormat="1" applyFont="1" applyFill="1" applyBorder="1"/>
    <xf numFmtId="9" fontId="39" fillId="6" borderId="0" xfId="1" applyFont="1" applyFill="1" applyBorder="1"/>
    <xf numFmtId="165" fontId="39" fillId="6" borderId="4" xfId="1" applyNumberFormat="1" applyFont="1" applyFill="1" applyBorder="1" applyAlignment="1">
      <alignment horizontal="center"/>
    </xf>
    <xf numFmtId="9" fontId="39" fillId="6" borderId="4" xfId="1" applyFont="1" applyFill="1" applyBorder="1"/>
    <xf numFmtId="0" fontId="10" fillId="6" borderId="0" xfId="0" applyFont="1" applyFill="1" applyAlignment="1">
      <alignment horizontal="right"/>
    </xf>
    <xf numFmtId="164" fontId="16" fillId="6" borderId="6" xfId="1" applyNumberFormat="1" applyFont="1" applyFill="1" applyBorder="1"/>
    <xf numFmtId="165" fontId="46" fillId="6" borderId="4" xfId="1" applyNumberFormat="1" applyFont="1" applyFill="1" applyBorder="1"/>
    <xf numFmtId="9" fontId="46" fillId="6" borderId="4" xfId="1" applyFont="1" applyFill="1" applyBorder="1"/>
    <xf numFmtId="165" fontId="48" fillId="6" borderId="4" xfId="1" applyNumberFormat="1" applyFont="1" applyFill="1" applyBorder="1"/>
    <xf numFmtId="9" fontId="48" fillId="6" borderId="5" xfId="1" applyFont="1" applyFill="1" applyBorder="1"/>
    <xf numFmtId="165" fontId="46" fillId="6" borderId="4" xfId="3" applyNumberFormat="1" applyFont="1" applyFill="1" applyBorder="1"/>
    <xf numFmtId="165" fontId="46" fillId="6" borderId="6" xfId="3" applyNumberFormat="1" applyFont="1" applyFill="1" applyBorder="1"/>
    <xf numFmtId="9" fontId="46" fillId="6" borderId="6" xfId="1" applyFont="1" applyFill="1" applyBorder="1"/>
    <xf numFmtId="165" fontId="46" fillId="6" borderId="6" xfId="1" applyNumberFormat="1" applyFont="1" applyFill="1" applyBorder="1"/>
    <xf numFmtId="165" fontId="12" fillId="6" borderId="6" xfId="1" applyNumberFormat="1" applyFont="1" applyFill="1" applyBorder="1"/>
    <xf numFmtId="0" fontId="46" fillId="6" borderId="0" xfId="1" applyNumberFormat="1" applyFont="1" applyFill="1" applyBorder="1"/>
    <xf numFmtId="0" fontId="28" fillId="6" borderId="28" xfId="0" applyFont="1" applyFill="1" applyBorder="1"/>
    <xf numFmtId="0" fontId="51" fillId="6" borderId="30" xfId="0" applyFont="1" applyFill="1" applyBorder="1"/>
    <xf numFmtId="165" fontId="42" fillId="6" borderId="4" xfId="1" applyNumberFormat="1" applyFont="1" applyFill="1" applyBorder="1"/>
    <xf numFmtId="165" fontId="42" fillId="6" borderId="5" xfId="1" applyNumberFormat="1" applyFont="1" applyFill="1" applyBorder="1"/>
    <xf numFmtId="165" fontId="30" fillId="6" borderId="0" xfId="1" applyNumberFormat="1" applyFont="1" applyFill="1" applyBorder="1"/>
    <xf numFmtId="165" fontId="30" fillId="6" borderId="5" xfId="1" applyNumberFormat="1" applyFont="1" applyFill="1" applyBorder="1"/>
    <xf numFmtId="165" fontId="30" fillId="6" borderId="4" xfId="1" applyNumberFormat="1" applyFont="1" applyFill="1" applyBorder="1"/>
    <xf numFmtId="9" fontId="30" fillId="6" borderId="4" xfId="1" applyFont="1" applyFill="1" applyBorder="1"/>
    <xf numFmtId="0" fontId="16" fillId="6" borderId="0" xfId="0" applyFont="1" applyFill="1" applyAlignment="1">
      <alignment horizontal="left"/>
    </xf>
    <xf numFmtId="0" fontId="52" fillId="6" borderId="4" xfId="0" applyFont="1" applyFill="1" applyBorder="1"/>
    <xf numFmtId="9" fontId="52" fillId="6" borderId="4" xfId="1" applyFont="1" applyFill="1" applyBorder="1"/>
    <xf numFmtId="165" fontId="52" fillId="6" borderId="4" xfId="1" applyNumberFormat="1" applyFont="1" applyFill="1" applyBorder="1"/>
    <xf numFmtId="165" fontId="11" fillId="6" borderId="4" xfId="1" applyNumberFormat="1" applyFont="1" applyFill="1" applyBorder="1"/>
    <xf numFmtId="0" fontId="32" fillId="6" borderId="4" xfId="1" applyNumberFormat="1" applyFont="1" applyFill="1" applyBorder="1" applyAlignment="1">
      <alignment horizontal="center"/>
    </xf>
    <xf numFmtId="0" fontId="32" fillId="6" borderId="0" xfId="1" applyNumberFormat="1" applyFont="1" applyFill="1" applyBorder="1"/>
    <xf numFmtId="0" fontId="0" fillId="6" borderId="13" xfId="0" applyFill="1" applyBorder="1" applyAlignment="1">
      <alignment horizontal="center"/>
    </xf>
    <xf numFmtId="0" fontId="0" fillId="6" borderId="0" xfId="0" applyFill="1" applyAlignment="1">
      <alignment horizontal="center"/>
    </xf>
    <xf numFmtId="0" fontId="39" fillId="6" borderId="4" xfId="0" applyFont="1" applyFill="1" applyBorder="1" applyAlignment="1">
      <alignment horizontal="center"/>
    </xf>
    <xf numFmtId="0" fontId="39" fillId="6" borderId="4" xfId="0" applyFont="1" applyFill="1" applyBorder="1"/>
    <xf numFmtId="0" fontId="32" fillId="6" borderId="0" xfId="0" applyFont="1" applyFill="1"/>
    <xf numFmtId="0" fontId="32" fillId="6" borderId="0" xfId="0" applyFont="1" applyFill="1" applyAlignment="1">
      <alignment horizontal="center"/>
    </xf>
    <xf numFmtId="164" fontId="32" fillId="6" borderId="0" xfId="2" applyNumberFormat="1" applyFont="1" applyFill="1" applyBorder="1"/>
    <xf numFmtId="0" fontId="39" fillId="6" borderId="0" xfId="0" applyFont="1" applyFill="1"/>
    <xf numFmtId="165" fontId="42" fillId="6" borderId="13" xfId="1" applyNumberFormat="1" applyFont="1" applyFill="1" applyBorder="1"/>
    <xf numFmtId="0" fontId="16" fillId="6" borderId="0" xfId="0" applyFont="1" applyFill="1" applyAlignment="1">
      <alignment horizontal="center"/>
    </xf>
    <xf numFmtId="165" fontId="48" fillId="6" borderId="6" xfId="1" applyNumberFormat="1" applyFont="1" applyFill="1" applyBorder="1"/>
    <xf numFmtId="165" fontId="42" fillId="6" borderId="10" xfId="1" applyNumberFormat="1" applyFont="1" applyFill="1" applyBorder="1"/>
    <xf numFmtId="165" fontId="42" fillId="6" borderId="0" xfId="1" applyNumberFormat="1" applyFont="1" applyFill="1" applyBorder="1"/>
    <xf numFmtId="165" fontId="30" fillId="6" borderId="13" xfId="1" applyNumberFormat="1" applyFont="1" applyFill="1" applyBorder="1"/>
    <xf numFmtId="0" fontId="16" fillId="6" borderId="0" xfId="0" applyFont="1" applyFill="1" applyAlignment="1">
      <alignment horizontal="left" wrapText="1"/>
    </xf>
    <xf numFmtId="0" fontId="52" fillId="6" borderId="13" xfId="0" applyFont="1" applyFill="1" applyBorder="1"/>
    <xf numFmtId="9" fontId="52" fillId="6" borderId="13" xfId="1" applyFont="1" applyFill="1" applyBorder="1"/>
    <xf numFmtId="165" fontId="52" fillId="6" borderId="13" xfId="1" applyNumberFormat="1" applyFont="1" applyFill="1" applyBorder="1"/>
    <xf numFmtId="165" fontId="11" fillId="6" borderId="13" xfId="1" applyNumberFormat="1" applyFont="1" applyFill="1" applyBorder="1"/>
    <xf numFmtId="165" fontId="63" fillId="0" borderId="21" xfId="1" applyNumberFormat="1" applyFont="1" applyBorder="1"/>
    <xf numFmtId="165" fontId="15" fillId="0" borderId="0" xfId="0" applyNumberFormat="1" applyFont="1"/>
    <xf numFmtId="6" fontId="2" fillId="0" borderId="8" xfId="0" applyNumberFormat="1" applyFont="1" applyBorder="1"/>
    <xf numFmtId="44" fontId="0" fillId="0" borderId="0" xfId="3" applyFont="1"/>
    <xf numFmtId="44" fontId="2" fillId="0" borderId="8" xfId="0" applyNumberFormat="1" applyFont="1" applyBorder="1"/>
    <xf numFmtId="0" fontId="53" fillId="0" borderId="0" xfId="0" applyFont="1"/>
    <xf numFmtId="0" fontId="43" fillId="0" borderId="0" xfId="0" applyFont="1" applyAlignment="1">
      <alignment horizontal="center" wrapText="1"/>
    </xf>
    <xf numFmtId="0" fontId="52" fillId="0" borderId="21" xfId="0" applyFont="1" applyBorder="1" applyAlignment="1">
      <alignment horizontal="center" wrapText="1"/>
    </xf>
    <xf numFmtId="0" fontId="53" fillId="0" borderId="22" xfId="0" applyFont="1" applyBorder="1"/>
    <xf numFmtId="165" fontId="53" fillId="0" borderId="4" xfId="0" applyNumberFormat="1" applyFont="1" applyBorder="1"/>
    <xf numFmtId="165" fontId="30" fillId="0" borderId="4" xfId="0" applyNumberFormat="1" applyFont="1" applyBorder="1"/>
    <xf numFmtId="165" fontId="53" fillId="0" borderId="4" xfId="0" applyNumberFormat="1" applyFont="1" applyBorder="1" applyAlignment="1">
      <alignment wrapText="1"/>
    </xf>
    <xf numFmtId="165" fontId="53" fillId="0" borderId="21" xfId="0" applyNumberFormat="1" applyFont="1" applyBorder="1"/>
    <xf numFmtId="0" fontId="30" fillId="0" borderId="0" xfId="0" applyFont="1"/>
    <xf numFmtId="0" fontId="52" fillId="3" borderId="21" xfId="0" applyFont="1" applyFill="1" applyBorder="1"/>
    <xf numFmtId="0" fontId="11" fillId="0" borderId="21" xfId="0" applyFont="1" applyBorder="1" applyAlignment="1">
      <alignment horizontal="center" wrapText="1"/>
    </xf>
    <xf numFmtId="0" fontId="0" fillId="7" borderId="0" xfId="0" applyFill="1"/>
    <xf numFmtId="14" fontId="0" fillId="7" borderId="0" xfId="0" applyNumberFormat="1" applyFill="1"/>
    <xf numFmtId="9" fontId="53" fillId="0" borderId="21" xfId="1" applyFont="1" applyBorder="1" applyAlignment="1">
      <alignment horizontal="center"/>
    </xf>
    <xf numFmtId="9" fontId="53" fillId="0" borderId="22" xfId="1" applyFont="1" applyBorder="1" applyAlignment="1">
      <alignment horizontal="center"/>
    </xf>
    <xf numFmtId="9" fontId="53" fillId="0" borderId="4" xfId="1" applyFont="1" applyBorder="1" applyAlignment="1">
      <alignment horizontal="center"/>
    </xf>
    <xf numFmtId="9" fontId="53" fillId="0" borderId="13" xfId="1" applyFont="1" applyBorder="1" applyAlignment="1">
      <alignment horizontal="center"/>
    </xf>
    <xf numFmtId="165" fontId="58" fillId="0" borderId="0" xfId="0" applyNumberFormat="1" applyFont="1"/>
    <xf numFmtId="0" fontId="58" fillId="0" borderId="21" xfId="0" applyFont="1" applyBorder="1"/>
    <xf numFmtId="0" fontId="52" fillId="3" borderId="21" xfId="0" applyFont="1" applyFill="1" applyBorder="1" applyAlignment="1">
      <alignment horizontal="center"/>
    </xf>
    <xf numFmtId="0" fontId="58" fillId="0" borderId="22" xfId="0" applyFont="1" applyBorder="1"/>
    <xf numFmtId="0" fontId="58" fillId="0" borderId="4" xfId="0" applyFont="1" applyBorder="1"/>
    <xf numFmtId="10" fontId="58" fillId="0" borderId="4" xfId="0" applyNumberFormat="1" applyFont="1" applyBorder="1"/>
    <xf numFmtId="0" fontId="56" fillId="0" borderId="4" xfId="0" applyFont="1" applyBorder="1"/>
    <xf numFmtId="0" fontId="58" fillId="0" borderId="4" xfId="0" applyFont="1" applyBorder="1" applyAlignment="1">
      <alignment wrapText="1"/>
    </xf>
    <xf numFmtId="0" fontId="58" fillId="0" borderId="13" xfId="0" applyFont="1" applyBorder="1"/>
    <xf numFmtId="165" fontId="58" fillId="0" borderId="22" xfId="0" applyNumberFormat="1" applyFont="1" applyBorder="1"/>
    <xf numFmtId="165" fontId="58" fillId="0" borderId="4" xfId="0" applyNumberFormat="1" applyFont="1" applyBorder="1"/>
    <xf numFmtId="165" fontId="56" fillId="0" borderId="4" xfId="0" applyNumberFormat="1" applyFont="1" applyBorder="1"/>
    <xf numFmtId="165" fontId="58" fillId="3" borderId="4" xfId="0" applyNumberFormat="1" applyFont="1" applyFill="1" applyBorder="1"/>
    <xf numFmtId="165" fontId="58" fillId="0" borderId="4" xfId="0" applyNumberFormat="1" applyFont="1" applyBorder="1" applyAlignment="1">
      <alignment wrapText="1"/>
    </xf>
    <xf numFmtId="165" fontId="58" fillId="0" borderId="13" xfId="0" applyNumberFormat="1" applyFont="1" applyBorder="1"/>
    <xf numFmtId="9" fontId="58" fillId="0" borderId="22" xfId="1" applyFont="1" applyBorder="1"/>
    <xf numFmtId="9" fontId="58" fillId="0" borderId="4" xfId="1" applyFont="1" applyBorder="1"/>
    <xf numFmtId="9" fontId="56" fillId="0" borderId="4" xfId="1" applyFont="1" applyBorder="1"/>
    <xf numFmtId="9" fontId="58" fillId="0" borderId="4" xfId="1" applyFont="1" applyBorder="1" applyAlignment="1">
      <alignment wrapText="1"/>
    </xf>
    <xf numFmtId="9" fontId="58" fillId="0" borderId="13" xfId="1" applyFont="1" applyBorder="1"/>
    <xf numFmtId="165" fontId="58" fillId="0" borderId="21" xfId="0" applyNumberFormat="1" applyFont="1" applyBorder="1"/>
    <xf numFmtId="9" fontId="58" fillId="0" borderId="21" xfId="1" applyFont="1" applyBorder="1"/>
    <xf numFmtId="0" fontId="16" fillId="0" borderId="0" xfId="0" applyFont="1"/>
    <xf numFmtId="0" fontId="29" fillId="3" borderId="21" xfId="0" applyFont="1" applyFill="1" applyBorder="1" applyAlignment="1">
      <alignment horizontal="center" wrapText="1"/>
    </xf>
    <xf numFmtId="9" fontId="16" fillId="0" borderId="22" xfId="1" applyFont="1" applyBorder="1" applyAlignment="1">
      <alignment horizontal="center"/>
    </xf>
    <xf numFmtId="9" fontId="16" fillId="0" borderId="4" xfId="1" applyFont="1" applyBorder="1" applyAlignment="1">
      <alignment horizontal="center"/>
    </xf>
    <xf numFmtId="165" fontId="16" fillId="0" borderId="4" xfId="1" applyNumberFormat="1" applyFont="1" applyBorder="1" applyAlignment="1">
      <alignment horizontal="center"/>
    </xf>
    <xf numFmtId="165" fontId="16" fillId="0" borderId="13" xfId="1" applyNumberFormat="1" applyFont="1" applyBorder="1" applyAlignment="1">
      <alignment horizontal="center"/>
    </xf>
    <xf numFmtId="165" fontId="16" fillId="0" borderId="21" xfId="1" applyNumberFormat="1" applyFont="1" applyBorder="1" applyAlignment="1">
      <alignment horizontal="center"/>
    </xf>
    <xf numFmtId="0" fontId="28" fillId="0" borderId="0" xfId="0" applyFont="1" applyAlignment="1">
      <alignment wrapText="1"/>
    </xf>
    <xf numFmtId="0" fontId="55" fillId="0" borderId="0" xfId="0" applyFont="1" applyAlignment="1">
      <alignment wrapText="1"/>
    </xf>
    <xf numFmtId="0" fontId="64" fillId="0" borderId="0" xfId="0" applyFont="1" applyAlignment="1">
      <alignment wrapText="1"/>
    </xf>
    <xf numFmtId="9" fontId="55" fillId="0" borderId="0" xfId="0" applyNumberFormat="1" applyFont="1"/>
    <xf numFmtId="2" fontId="60" fillId="0" borderId="0" xfId="0" applyNumberFormat="1" applyFont="1" applyAlignment="1">
      <alignment horizontal="right"/>
    </xf>
    <xf numFmtId="0" fontId="55" fillId="0" borderId="0" xfId="0" applyFont="1" applyAlignment="1">
      <alignment horizontal="right"/>
    </xf>
    <xf numFmtId="9" fontId="55" fillId="0" borderId="0" xfId="0" applyNumberFormat="1" applyFont="1" applyAlignment="1">
      <alignment wrapText="1"/>
    </xf>
    <xf numFmtId="0" fontId="58" fillId="8" borderId="4" xfId="0" applyFont="1" applyFill="1" applyBorder="1"/>
    <xf numFmtId="165" fontId="58" fillId="8" borderId="4" xfId="0" applyNumberFormat="1" applyFont="1" applyFill="1" applyBorder="1"/>
    <xf numFmtId="9" fontId="58" fillId="8" borderId="4" xfId="1" applyFont="1" applyFill="1" applyBorder="1"/>
    <xf numFmtId="165" fontId="53" fillId="8" borderId="4" xfId="0" applyNumberFormat="1" applyFont="1" applyFill="1" applyBorder="1"/>
    <xf numFmtId="9" fontId="53" fillId="8" borderId="4" xfId="1" applyFont="1" applyFill="1" applyBorder="1" applyAlignment="1">
      <alignment horizontal="center"/>
    </xf>
    <xf numFmtId="165" fontId="16" fillId="8" borderId="4" xfId="1" applyNumberFormat="1" applyFont="1" applyFill="1" applyBorder="1" applyAlignment="1">
      <alignment horizontal="center"/>
    </xf>
    <xf numFmtId="0" fontId="55" fillId="8" borderId="0" xfId="0" applyFont="1" applyFill="1"/>
    <xf numFmtId="165" fontId="15" fillId="0" borderId="0" xfId="0" applyNumberFormat="1" applyFont="1" applyAlignment="1">
      <alignment horizontal="center"/>
    </xf>
    <xf numFmtId="165" fontId="3" fillId="0" borderId="0" xfId="0" applyNumberFormat="1" applyFont="1"/>
    <xf numFmtId="165" fontId="12" fillId="0" borderId="14" xfId="0" applyNumberFormat="1" applyFont="1" applyBorder="1"/>
    <xf numFmtId="165" fontId="53" fillId="0" borderId="4" xfId="1" applyNumberFormat="1" applyFont="1" applyBorder="1" applyAlignment="1">
      <alignment horizontal="center"/>
    </xf>
    <xf numFmtId="165" fontId="53" fillId="8" borderId="4" xfId="1" applyNumberFormat="1" applyFont="1" applyFill="1" applyBorder="1" applyAlignment="1">
      <alignment horizontal="center"/>
    </xf>
    <xf numFmtId="165" fontId="53" fillId="0" borderId="13" xfId="1" applyNumberFormat="1" applyFont="1" applyBorder="1" applyAlignment="1">
      <alignment horizontal="center"/>
    </xf>
    <xf numFmtId="165" fontId="53" fillId="0" borderId="21" xfId="1" applyNumberFormat="1" applyFont="1" applyBorder="1" applyAlignment="1">
      <alignment horizontal="center"/>
    </xf>
    <xf numFmtId="9" fontId="52" fillId="3" borderId="21" xfId="1" applyFont="1" applyFill="1" applyBorder="1" applyAlignment="1">
      <alignment horizontal="center" wrapText="1"/>
    </xf>
    <xf numFmtId="165" fontId="11" fillId="0" borderId="4" xfId="1" applyNumberFormat="1" applyFont="1" applyFill="1" applyBorder="1"/>
    <xf numFmtId="9" fontId="58" fillId="0" borderId="4" xfId="1" applyFont="1" applyFill="1" applyBorder="1"/>
    <xf numFmtId="0" fontId="58" fillId="3" borderId="21" xfId="0" applyFont="1" applyFill="1" applyBorder="1" applyAlignment="1">
      <alignment wrapText="1"/>
    </xf>
    <xf numFmtId="165" fontId="12" fillId="0" borderId="3" xfId="0" applyNumberFormat="1" applyFont="1" applyBorder="1" applyAlignment="1">
      <alignment horizontal="right"/>
    </xf>
    <xf numFmtId="165" fontId="16" fillId="0" borderId="0" xfId="0" applyNumberFormat="1" applyFont="1" applyAlignment="1">
      <alignment horizontal="center"/>
    </xf>
    <xf numFmtId="165" fontId="12" fillId="0" borderId="6" xfId="0" applyNumberFormat="1" applyFont="1" applyBorder="1" applyAlignment="1">
      <alignment horizontal="right"/>
    </xf>
    <xf numFmtId="165" fontId="28" fillId="0" borderId="2" xfId="0" applyNumberFormat="1" applyFont="1" applyBorder="1"/>
    <xf numFmtId="165" fontId="3" fillId="0" borderId="2" xfId="0" applyNumberFormat="1" applyFont="1" applyBorder="1"/>
    <xf numFmtId="165" fontId="3" fillId="0" borderId="6" xfId="0" applyNumberFormat="1" applyFont="1" applyBorder="1" applyAlignment="1">
      <alignment horizontal="right"/>
    </xf>
    <xf numFmtId="165" fontId="8" fillId="0" borderId="6" xfId="0" applyNumberFormat="1" applyFont="1" applyBorder="1" applyAlignment="1">
      <alignment horizontal="right"/>
    </xf>
    <xf numFmtId="165" fontId="12" fillId="0" borderId="0" xfId="0" applyNumberFormat="1" applyFont="1" applyAlignment="1">
      <alignment horizontal="center"/>
    </xf>
    <xf numFmtId="165" fontId="3" fillId="0" borderId="6" xfId="0" applyNumberFormat="1" applyFont="1" applyBorder="1" applyAlignment="1">
      <alignment horizontal="center"/>
    </xf>
    <xf numFmtId="165" fontId="33" fillId="0" borderId="0" xfId="0" applyNumberFormat="1" applyFont="1" applyAlignment="1">
      <alignment horizontal="center"/>
    </xf>
    <xf numFmtId="165" fontId="12" fillId="0" borderId="14" xfId="0" applyNumberFormat="1" applyFont="1" applyBorder="1" applyAlignment="1">
      <alignment horizontal="center"/>
    </xf>
    <xf numFmtId="165" fontId="33" fillId="0" borderId="6" xfId="0" applyNumberFormat="1" applyFont="1" applyBorder="1" applyAlignment="1">
      <alignment horizontal="right"/>
    </xf>
    <xf numFmtId="165" fontId="15" fillId="0" borderId="6" xfId="0" applyNumberFormat="1" applyFont="1" applyBorder="1" applyAlignment="1">
      <alignment horizontal="right"/>
    </xf>
    <xf numFmtId="165" fontId="7" fillId="0" borderId="9" xfId="0" applyNumberFormat="1" applyFont="1" applyBorder="1" applyAlignment="1">
      <alignment horizontal="right"/>
    </xf>
    <xf numFmtId="165" fontId="16" fillId="0" borderId="11" xfId="0" applyNumberFormat="1" applyFont="1" applyBorder="1" applyAlignment="1">
      <alignment horizontal="center"/>
    </xf>
    <xf numFmtId="165" fontId="7" fillId="0" borderId="11" xfId="0" applyNumberFormat="1" applyFont="1" applyBorder="1"/>
    <xf numFmtId="165" fontId="6" fillId="0" borderId="15" xfId="0" applyNumberFormat="1" applyFont="1" applyBorder="1" applyAlignment="1">
      <alignment horizontal="right"/>
    </xf>
    <xf numFmtId="9" fontId="55" fillId="0" borderId="0" xfId="1" applyFont="1"/>
    <xf numFmtId="9" fontId="60" fillId="0" borderId="0" xfId="1" applyFont="1" applyAlignment="1">
      <alignment horizontal="right"/>
    </xf>
    <xf numFmtId="9" fontId="55" fillId="0" borderId="0" xfId="1" applyFont="1" applyAlignment="1">
      <alignment horizontal="right"/>
    </xf>
    <xf numFmtId="0" fontId="65" fillId="0" borderId="22" xfId="0" applyFont="1" applyBorder="1"/>
    <xf numFmtId="9" fontId="65" fillId="0" borderId="22" xfId="1" applyFont="1" applyBorder="1"/>
    <xf numFmtId="2" fontId="46" fillId="0" borderId="0" xfId="0" applyNumberFormat="1" applyFont="1" applyAlignment="1">
      <alignment horizontal="right"/>
    </xf>
    <xf numFmtId="0" fontId="49" fillId="0" borderId="4" xfId="0" applyFont="1" applyBorder="1"/>
    <xf numFmtId="9" fontId="49" fillId="0" borderId="4" xfId="1" applyFont="1" applyBorder="1"/>
    <xf numFmtId="165" fontId="49" fillId="0" borderId="4" xfId="0" applyNumberFormat="1" applyFont="1" applyBorder="1" applyAlignment="1">
      <alignment wrapText="1"/>
    </xf>
    <xf numFmtId="9" fontId="49" fillId="0" borderId="4" xfId="1" applyFont="1" applyBorder="1" applyAlignment="1">
      <alignment wrapText="1"/>
    </xf>
    <xf numFmtId="165" fontId="49" fillId="0" borderId="4" xfId="0" applyNumberFormat="1" applyFont="1" applyBorder="1"/>
    <xf numFmtId="0" fontId="49" fillId="8" borderId="4" xfId="0" applyFont="1" applyFill="1" applyBorder="1"/>
    <xf numFmtId="0" fontId="66" fillId="0" borderId="21" xfId="0" applyFont="1" applyBorder="1" applyAlignment="1">
      <alignment wrapText="1"/>
    </xf>
    <xf numFmtId="9" fontId="66" fillId="0" borderId="21" xfId="1" applyFont="1" applyBorder="1" applyAlignment="1">
      <alignment wrapText="1"/>
    </xf>
    <xf numFmtId="0" fontId="0" fillId="0" borderId="14" xfId="0" applyBorder="1"/>
    <xf numFmtId="0" fontId="2" fillId="0" borderId="14" xfId="0" applyFont="1" applyBorder="1"/>
    <xf numFmtId="0" fontId="0" fillId="0" borderId="13" xfId="0" applyBorder="1" applyAlignment="1">
      <alignment horizontal="center"/>
    </xf>
    <xf numFmtId="0" fontId="39" fillId="0" borderId="4" xfId="0" applyFont="1" applyBorder="1" applyAlignment="1">
      <alignment horizontal="center"/>
    </xf>
    <xf numFmtId="164" fontId="32" fillId="0" borderId="0" xfId="2" applyNumberFormat="1" applyFont="1" applyFill="1" applyBorder="1"/>
    <xf numFmtId="164" fontId="16" fillId="0" borderId="6" xfId="1" applyNumberFormat="1" applyFont="1" applyFill="1" applyBorder="1"/>
    <xf numFmtId="165" fontId="46" fillId="0" borderId="6" xfId="1" applyNumberFormat="1" applyFont="1" applyFill="1" applyBorder="1"/>
    <xf numFmtId="9" fontId="46" fillId="0" borderId="4" xfId="1" applyFont="1" applyFill="1" applyBorder="1"/>
    <xf numFmtId="165" fontId="48" fillId="0" borderId="6" xfId="1" applyNumberFormat="1" applyFont="1" applyFill="1" applyBorder="1"/>
    <xf numFmtId="9" fontId="48" fillId="0" borderId="5" xfId="1" applyFont="1" applyFill="1" applyBorder="1"/>
    <xf numFmtId="165" fontId="46" fillId="0" borderId="4" xfId="3" applyNumberFormat="1" applyFont="1" applyFill="1" applyBorder="1"/>
    <xf numFmtId="165" fontId="46" fillId="0" borderId="6" xfId="3" applyNumberFormat="1" applyFont="1" applyFill="1" applyBorder="1"/>
    <xf numFmtId="9" fontId="46" fillId="0" borderId="6" xfId="1" applyFont="1" applyFill="1" applyBorder="1"/>
    <xf numFmtId="0" fontId="46" fillId="0" borderId="0" xfId="1" applyNumberFormat="1" applyFont="1" applyFill="1" applyBorder="1"/>
    <xf numFmtId="0" fontId="28" fillId="0" borderId="28" xfId="0" applyFont="1" applyBorder="1"/>
    <xf numFmtId="0" fontId="51" fillId="0" borderId="30" xfId="0" applyFont="1" applyBorder="1"/>
    <xf numFmtId="165" fontId="42" fillId="0" borderId="10" xfId="1" applyNumberFormat="1" applyFont="1" applyFill="1" applyBorder="1"/>
    <xf numFmtId="165" fontId="42" fillId="0" borderId="0" xfId="1" applyNumberFormat="1" applyFont="1" applyFill="1" applyBorder="1"/>
    <xf numFmtId="165" fontId="30" fillId="0" borderId="13" xfId="1" applyNumberFormat="1" applyFont="1" applyFill="1" applyBorder="1"/>
    <xf numFmtId="165" fontId="42" fillId="0" borderId="13" xfId="1" applyNumberFormat="1" applyFont="1" applyFill="1" applyBorder="1"/>
    <xf numFmtId="0" fontId="16" fillId="0" borderId="0" xfId="0" applyFont="1" applyAlignment="1">
      <alignment horizontal="left" wrapText="1"/>
    </xf>
    <xf numFmtId="0" fontId="52" fillId="0" borderId="13" xfId="0" applyFont="1" applyBorder="1"/>
    <xf numFmtId="9" fontId="52" fillId="0" borderId="13" xfId="1" applyFont="1" applyFill="1" applyBorder="1"/>
    <xf numFmtId="165" fontId="52" fillId="0" borderId="13" xfId="1" applyNumberFormat="1" applyFont="1" applyFill="1" applyBorder="1"/>
    <xf numFmtId="9" fontId="52" fillId="0" borderId="4" xfId="1" applyFont="1" applyFill="1" applyBorder="1"/>
    <xf numFmtId="165" fontId="11" fillId="0" borderId="13" xfId="1" applyNumberFormat="1" applyFont="1" applyFill="1" applyBorder="1"/>
    <xf numFmtId="165" fontId="49" fillId="0" borderId="13" xfId="1" applyNumberFormat="1" applyFont="1" applyBorder="1" applyAlignment="1">
      <alignment horizontal="center"/>
    </xf>
    <xf numFmtId="9" fontId="65" fillId="0" borderId="13" xfId="1" applyFont="1" applyBorder="1"/>
    <xf numFmtId="0" fontId="65" fillId="0" borderId="4" xfId="0" applyFont="1" applyBorder="1"/>
    <xf numFmtId="0" fontId="49" fillId="0" borderId="13" xfId="0" applyFont="1" applyBorder="1"/>
    <xf numFmtId="9" fontId="65" fillId="0" borderId="4" xfId="1" applyFont="1" applyBorder="1"/>
    <xf numFmtId="9" fontId="65" fillId="0" borderId="4" xfId="1" applyFont="1" applyBorder="1" applyAlignment="1">
      <alignment wrapText="1"/>
    </xf>
    <xf numFmtId="9" fontId="65" fillId="0" borderId="13" xfId="1" applyFont="1" applyBorder="1" applyAlignment="1">
      <alignment wrapText="1"/>
    </xf>
    <xf numFmtId="166" fontId="2" fillId="0" borderId="0" xfId="0" applyNumberFormat="1" applyFont="1"/>
    <xf numFmtId="166" fontId="0" fillId="0" borderId="14" xfId="0" applyNumberFormat="1" applyBorder="1"/>
    <xf numFmtId="0" fontId="1" fillId="0" borderId="0" xfId="0" applyFont="1" applyAlignment="1">
      <alignment horizontal="center"/>
    </xf>
    <xf numFmtId="0" fontId="17" fillId="0" borderId="0" xfId="0" applyFont="1" applyAlignment="1">
      <alignment horizontal="center"/>
    </xf>
    <xf numFmtId="0" fontId="1" fillId="0" borderId="0" xfId="0" applyFont="1"/>
    <xf numFmtId="0" fontId="19" fillId="0" borderId="0" xfId="0" applyFont="1"/>
    <xf numFmtId="2" fontId="1" fillId="0" borderId="0" xfId="0" applyNumberFormat="1" applyFont="1"/>
    <xf numFmtId="164" fontId="1" fillId="0" borderId="0" xfId="0" applyNumberFormat="1" applyFont="1"/>
    <xf numFmtId="165" fontId="1" fillId="0" borderId="0" xfId="0" applyNumberFormat="1" applyFont="1"/>
    <xf numFmtId="2" fontId="18" fillId="0" borderId="0" xfId="0" applyNumberFormat="1" applyFont="1"/>
    <xf numFmtId="164" fontId="18" fillId="0" borderId="0" xfId="0" applyNumberFormat="1" applyFont="1"/>
    <xf numFmtId="0" fontId="18" fillId="0" borderId="0" xfId="0" applyFont="1"/>
    <xf numFmtId="0" fontId="21" fillId="0" borderId="0" xfId="0" applyFont="1" applyAlignment="1">
      <alignment horizontal="center"/>
    </xf>
    <xf numFmtId="0" fontId="19" fillId="0" borderId="17" xfId="0" applyFont="1" applyBorder="1"/>
    <xf numFmtId="2" fontId="19" fillId="0" borderId="0" xfId="0" applyNumberFormat="1" applyFont="1"/>
    <xf numFmtId="164" fontId="19" fillId="0" borderId="0" xfId="0" applyNumberFormat="1" applyFont="1"/>
    <xf numFmtId="0" fontId="22" fillId="0" borderId="18" xfId="0" applyFont="1" applyBorder="1" applyAlignment="1">
      <alignment horizontal="center"/>
    </xf>
    <xf numFmtId="0" fontId="22" fillId="0" borderId="19" xfId="0" applyFont="1" applyBorder="1" applyAlignment="1">
      <alignment horizontal="center"/>
    </xf>
    <xf numFmtId="0" fontId="22" fillId="0" borderId="19" xfId="0" applyFont="1" applyBorder="1"/>
    <xf numFmtId="0" fontId="0" fillId="0" borderId="19" xfId="0" applyBorder="1" applyAlignment="1">
      <alignment horizontal="center"/>
    </xf>
    <xf numFmtId="0" fontId="22" fillId="0" borderId="25" xfId="0" applyFont="1" applyBorder="1"/>
    <xf numFmtId="2" fontId="22" fillId="0" borderId="20" xfId="0" applyNumberFormat="1" applyFont="1" applyBorder="1" applyAlignment="1">
      <alignment horizontal="right"/>
    </xf>
    <xf numFmtId="2" fontId="22" fillId="0" borderId="18" xfId="0" applyNumberFormat="1" applyFont="1" applyBorder="1" applyAlignment="1">
      <alignment horizontal="right"/>
    </xf>
    <xf numFmtId="164" fontId="22" fillId="0" borderId="19" xfId="0" applyNumberFormat="1" applyFont="1" applyBorder="1" applyAlignment="1">
      <alignment horizontal="center"/>
    </xf>
    <xf numFmtId="0" fontId="21" fillId="0" borderId="19" xfId="0" applyFont="1" applyBorder="1" applyAlignment="1">
      <alignment horizontal="center"/>
    </xf>
    <xf numFmtId="0" fontId="21" fillId="0" borderId="19" xfId="0" applyFont="1" applyBorder="1" applyAlignment="1">
      <alignment horizontal="center" wrapText="1"/>
    </xf>
    <xf numFmtId="2" fontId="21" fillId="0" borderId="19" xfId="0" applyNumberFormat="1" applyFont="1" applyBorder="1" applyAlignment="1">
      <alignment horizontal="center" wrapText="1"/>
    </xf>
    <xf numFmtId="2" fontId="21" fillId="0" borderId="19" xfId="0" applyNumberFormat="1" applyFont="1" applyBorder="1" applyAlignment="1">
      <alignment horizontal="center"/>
    </xf>
    <xf numFmtId="2" fontId="21" fillId="0" borderId="25" xfId="0" applyNumberFormat="1" applyFont="1" applyBorder="1" applyAlignment="1">
      <alignment horizontal="center" wrapText="1"/>
    </xf>
    <xf numFmtId="164" fontId="21" fillId="0" borderId="20" xfId="0" applyNumberFormat="1" applyFont="1" applyBorder="1" applyAlignment="1">
      <alignment horizontal="center"/>
    </xf>
    <xf numFmtId="2" fontId="1" fillId="0" borderId="6" xfId="0" applyNumberFormat="1" applyFont="1" applyBorder="1"/>
    <xf numFmtId="164" fontId="24" fillId="0" borderId="5" xfId="0" applyNumberFormat="1" applyFont="1" applyBorder="1" applyAlignment="1">
      <alignment horizontal="right"/>
    </xf>
    <xf numFmtId="164" fontId="24" fillId="0" borderId="0" xfId="0" applyNumberFormat="1" applyFont="1" applyAlignment="1">
      <alignment horizontal="right"/>
    </xf>
    <xf numFmtId="164" fontId="24" fillId="0" borderId="0" xfId="0" applyNumberFormat="1" applyFont="1" applyAlignment="1">
      <alignment horizontal="center"/>
    </xf>
    <xf numFmtId="164" fontId="19" fillId="0" borderId="6" xfId="0" applyNumberFormat="1" applyFont="1" applyBorder="1"/>
    <xf numFmtId="14" fontId="23" fillId="0" borderId="5" xfId="0" applyNumberFormat="1" applyFont="1" applyBorder="1" applyAlignment="1">
      <alignment horizontal="right"/>
    </xf>
    <xf numFmtId="0" fontId="23" fillId="0" borderId="0" xfId="0" applyFont="1" applyAlignment="1">
      <alignment horizontal="center"/>
    </xf>
    <xf numFmtId="0" fontId="24" fillId="0" borderId="0" xfId="0" applyFont="1"/>
    <xf numFmtId="0" fontId="25" fillId="0" borderId="0" xfId="0" applyFont="1" applyAlignment="1">
      <alignment horizontal="center"/>
    </xf>
    <xf numFmtId="164" fontId="20" fillId="0" borderId="9" xfId="0" applyNumberFormat="1" applyFont="1" applyBorder="1"/>
    <xf numFmtId="14" fontId="25" fillId="0" borderId="5" xfId="0" applyNumberFormat="1" applyFont="1" applyBorder="1"/>
    <xf numFmtId="2" fontId="25" fillId="0" borderId="6" xfId="0" applyNumberFormat="1" applyFont="1" applyBorder="1"/>
    <xf numFmtId="2" fontId="25" fillId="0" borderId="5" xfId="0" applyNumberFormat="1" applyFont="1" applyBorder="1"/>
    <xf numFmtId="2" fontId="25" fillId="0" borderId="0" xfId="0" applyNumberFormat="1" applyFont="1"/>
    <xf numFmtId="164" fontId="25" fillId="0" borderId="6" xfId="0" applyNumberFormat="1" applyFont="1" applyBorder="1"/>
    <xf numFmtId="14" fontId="25" fillId="0" borderId="10" xfId="0" applyNumberFormat="1" applyFont="1" applyBorder="1"/>
    <xf numFmtId="0" fontId="25" fillId="0" borderId="11" xfId="0" applyFont="1" applyBorder="1" applyAlignment="1">
      <alignment horizontal="center"/>
    </xf>
    <xf numFmtId="0" fontId="23" fillId="0" borderId="11" xfId="0" applyFont="1" applyBorder="1"/>
    <xf numFmtId="0" fontId="1" fillId="0" borderId="11" xfId="0" applyFont="1" applyBorder="1" applyAlignment="1">
      <alignment horizontal="center"/>
    </xf>
    <xf numFmtId="0" fontId="24" fillId="0" borderId="11" xfId="0" applyFont="1" applyBorder="1"/>
    <xf numFmtId="2" fontId="25" fillId="0" borderId="12" xfId="0" applyNumberFormat="1" applyFont="1" applyBorder="1"/>
    <xf numFmtId="2" fontId="25" fillId="0" borderId="10" xfId="0" applyNumberFormat="1" applyFont="1" applyBorder="1"/>
    <xf numFmtId="164" fontId="25" fillId="0" borderId="11" xfId="0" applyNumberFormat="1" applyFont="1" applyBorder="1"/>
    <xf numFmtId="4" fontId="25" fillId="0" borderId="11" xfId="0" applyNumberFormat="1" applyFont="1" applyBorder="1"/>
    <xf numFmtId="2" fontId="25" fillId="0" borderId="11" xfId="0" applyNumberFormat="1" applyFont="1" applyBorder="1"/>
    <xf numFmtId="0" fontId="25" fillId="0" borderId="11" xfId="0" applyFont="1" applyBorder="1"/>
    <xf numFmtId="164" fontId="25" fillId="0" borderId="12" xfId="0" applyNumberFormat="1" applyFont="1" applyBorder="1"/>
    <xf numFmtId="164" fontId="22" fillId="0" borderId="8" xfId="0" applyNumberFormat="1" applyFont="1" applyBorder="1"/>
    <xf numFmtId="164" fontId="23" fillId="0" borderId="0" xfId="0" applyNumberFormat="1" applyFont="1"/>
    <xf numFmtId="164" fontId="24" fillId="0" borderId="0" xfId="0" applyNumberFormat="1" applyFont="1"/>
    <xf numFmtId="2" fontId="25" fillId="0" borderId="0" xfId="0" applyNumberFormat="1" applyFont="1" applyAlignment="1">
      <alignment horizontal="right"/>
    </xf>
    <xf numFmtId="164" fontId="22" fillId="0" borderId="0" xfId="0" applyNumberFormat="1" applyFont="1"/>
    <xf numFmtId="0" fontId="21" fillId="0" borderId="0" xfId="0" applyFont="1"/>
    <xf numFmtId="2" fontId="22" fillId="0" borderId="0" xfId="0" applyNumberFormat="1" applyFont="1"/>
    <xf numFmtId="14" fontId="1" fillId="0" borderId="5" xfId="0" applyNumberFormat="1" applyFont="1" applyBorder="1"/>
    <xf numFmtId="0" fontId="0" fillId="0" borderId="25" xfId="0" applyBorder="1" applyAlignment="1">
      <alignment horizontal="center"/>
    </xf>
    <xf numFmtId="0" fontId="23" fillId="0" borderId="25" xfId="0" applyFont="1" applyBorder="1" applyAlignment="1">
      <alignment wrapText="1"/>
    </xf>
    <xf numFmtId="0" fontId="22" fillId="0" borderId="8" xfId="0" applyFont="1" applyBorder="1"/>
    <xf numFmtId="0" fontId="1" fillId="0" borderId="8" xfId="0" applyFont="1" applyBorder="1"/>
    <xf numFmtId="164" fontId="22" fillId="0" borderId="19" xfId="0" applyNumberFormat="1" applyFont="1" applyBorder="1" applyAlignment="1">
      <alignment horizontal="center" wrapText="1"/>
    </xf>
    <xf numFmtId="0" fontId="52" fillId="0" borderId="0" xfId="0" applyFont="1"/>
    <xf numFmtId="9" fontId="52" fillId="0" borderId="0" xfId="1" applyFont="1" applyAlignment="1">
      <alignment horizontal="center"/>
    </xf>
    <xf numFmtId="0" fontId="67" fillId="0" borderId="0" xfId="0" applyFont="1"/>
    <xf numFmtId="0" fontId="68" fillId="0" borderId="0" xfId="0" applyFont="1" applyAlignment="1">
      <alignment wrapText="1"/>
    </xf>
    <xf numFmtId="0" fontId="69" fillId="0" borderId="0" xfId="0" applyFont="1"/>
    <xf numFmtId="2" fontId="7" fillId="0" borderId="6" xfId="0" applyNumberFormat="1" applyFont="1" applyBorder="1" applyAlignment="1">
      <alignment horizontal="right"/>
    </xf>
    <xf numFmtId="0" fontId="70" fillId="0" borderId="5" xfId="0" applyFont="1" applyBorder="1"/>
    <xf numFmtId="165" fontId="5" fillId="0" borderId="6" xfId="0" applyNumberFormat="1" applyFont="1" applyBorder="1" applyAlignment="1">
      <alignment horizontal="right"/>
    </xf>
    <xf numFmtId="0" fontId="5" fillId="0" borderId="5" xfId="0" applyFont="1" applyBorder="1"/>
    <xf numFmtId="165" fontId="71" fillId="0" borderId="6" xfId="0" applyNumberFormat="1" applyFont="1" applyBorder="1" applyAlignment="1">
      <alignment horizontal="right"/>
    </xf>
    <xf numFmtId="0" fontId="72" fillId="0" borderId="0" xfId="0" applyFont="1"/>
    <xf numFmtId="165" fontId="73" fillId="0" borderId="14" xfId="0" applyNumberFormat="1" applyFont="1" applyBorder="1" applyAlignment="1">
      <alignment horizontal="center"/>
    </xf>
    <xf numFmtId="165" fontId="5" fillId="0" borderId="6" xfId="0" applyNumberFormat="1" applyFont="1" applyBorder="1" applyAlignment="1">
      <alignment horizontal="center"/>
    </xf>
    <xf numFmtId="165" fontId="72" fillId="0" borderId="14" xfId="0" applyNumberFormat="1" applyFont="1" applyBorder="1" applyAlignment="1">
      <alignment horizontal="center"/>
    </xf>
    <xf numFmtId="165" fontId="72" fillId="0" borderId="14" xfId="0" applyNumberFormat="1" applyFont="1" applyBorder="1"/>
    <xf numFmtId="165" fontId="73" fillId="0" borderId="6" xfId="0" applyNumberFormat="1" applyFont="1" applyBorder="1" applyAlignment="1">
      <alignment horizontal="right"/>
    </xf>
    <xf numFmtId="0" fontId="74" fillId="0" borderId="5" xfId="0" applyFont="1" applyBorder="1"/>
    <xf numFmtId="165" fontId="74" fillId="0" borderId="9" xfId="0" applyNumberFormat="1" applyFont="1" applyBorder="1" applyAlignment="1">
      <alignment horizontal="right"/>
    </xf>
    <xf numFmtId="14" fontId="5" fillId="0" borderId="0" xfId="0" applyNumberFormat="1" applyFont="1"/>
    <xf numFmtId="165" fontId="72" fillId="0" borderId="6" xfId="0" applyNumberFormat="1" applyFont="1" applyBorder="1" applyAlignment="1">
      <alignment horizontal="right"/>
    </xf>
    <xf numFmtId="0" fontId="5" fillId="0" borderId="0" xfId="0" applyFont="1" applyAlignment="1">
      <alignment wrapText="1"/>
    </xf>
    <xf numFmtId="0" fontId="74" fillId="0" borderId="10" xfId="0" applyFont="1" applyBorder="1"/>
    <xf numFmtId="0" fontId="5" fillId="0" borderId="11" xfId="0" applyFont="1" applyBorder="1"/>
    <xf numFmtId="165" fontId="9" fillId="0" borderId="11" xfId="0" applyNumberFormat="1" applyFont="1" applyBorder="1" applyAlignment="1">
      <alignment horizontal="center"/>
    </xf>
    <xf numFmtId="165" fontId="74" fillId="0" borderId="11" xfId="0" applyNumberFormat="1" applyFont="1" applyBorder="1"/>
    <xf numFmtId="165" fontId="75" fillId="0" borderId="15" xfId="0" applyNumberFormat="1" applyFont="1" applyBorder="1" applyAlignment="1">
      <alignment horizontal="right"/>
    </xf>
    <xf numFmtId="0" fontId="9" fillId="0" borderId="0" xfId="0" applyFont="1"/>
    <xf numFmtId="165" fontId="13" fillId="0" borderId="6" xfId="0" applyNumberFormat="1" applyFont="1" applyBorder="1" applyAlignment="1">
      <alignment horizontal="right"/>
    </xf>
    <xf numFmtId="165" fontId="71" fillId="0" borderId="0" xfId="0" applyNumberFormat="1" applyFont="1"/>
    <xf numFmtId="0" fontId="71" fillId="0" borderId="0" xfId="0" applyFont="1"/>
    <xf numFmtId="0" fontId="0" fillId="0" borderId="6" xfId="0" applyBorder="1"/>
    <xf numFmtId="165" fontId="72" fillId="0" borderId="0" xfId="0" applyNumberFormat="1" applyFont="1"/>
    <xf numFmtId="165" fontId="5" fillId="0" borderId="0" xfId="0" applyNumberFormat="1" applyFont="1"/>
    <xf numFmtId="0" fontId="74" fillId="0" borderId="0" xfId="0" applyFont="1"/>
    <xf numFmtId="165" fontId="74" fillId="0" borderId="0" xfId="0" applyNumberFormat="1" applyFont="1"/>
    <xf numFmtId="0" fontId="79" fillId="9" borderId="0" xfId="0" applyFont="1" applyFill="1"/>
    <xf numFmtId="0" fontId="79" fillId="10" borderId="0" xfId="0" applyFont="1" applyFill="1"/>
    <xf numFmtId="0" fontId="81" fillId="11" borderId="32" xfId="0" applyFont="1" applyFill="1" applyBorder="1" applyAlignment="1">
      <alignment vertical="center"/>
    </xf>
    <xf numFmtId="0" fontId="82" fillId="11" borderId="33" xfId="0" applyFont="1" applyFill="1" applyBorder="1" applyAlignment="1">
      <alignment vertical="center"/>
    </xf>
    <xf numFmtId="0" fontId="82" fillId="11" borderId="34" xfId="0" applyFont="1" applyFill="1" applyBorder="1" applyAlignment="1">
      <alignment vertical="center"/>
    </xf>
    <xf numFmtId="0" fontId="79" fillId="0" borderId="0" xfId="0" applyFont="1"/>
    <xf numFmtId="0" fontId="84" fillId="9" borderId="2" xfId="0" applyFont="1" applyFill="1" applyBorder="1" applyAlignment="1">
      <alignment vertical="center"/>
    </xf>
    <xf numFmtId="0" fontId="82" fillId="9" borderId="2" xfId="0" applyFont="1" applyFill="1" applyBorder="1" applyAlignment="1">
      <alignment vertical="center"/>
    </xf>
    <xf numFmtId="0" fontId="83" fillId="9" borderId="2" xfId="0" applyFont="1" applyFill="1" applyBorder="1" applyAlignment="1">
      <alignment horizontal="center" vertical="center"/>
    </xf>
    <xf numFmtId="0" fontId="85" fillId="0" borderId="0" xfId="0" applyFont="1" applyAlignment="1">
      <alignment vertical="center"/>
    </xf>
    <xf numFmtId="0" fontId="84" fillId="9" borderId="0" xfId="0" applyFont="1" applyFill="1" applyAlignment="1">
      <alignment vertical="center"/>
    </xf>
    <xf numFmtId="0" fontId="82" fillId="9" borderId="0" xfId="0" applyFont="1" applyFill="1" applyAlignment="1">
      <alignment vertical="center"/>
    </xf>
    <xf numFmtId="0" fontId="83" fillId="9" borderId="0" xfId="0" applyFont="1" applyFill="1" applyAlignment="1">
      <alignment horizontal="center" vertical="center"/>
    </xf>
    <xf numFmtId="0" fontId="79" fillId="9" borderId="0" xfId="0" applyFont="1" applyFill="1" applyAlignment="1">
      <alignment wrapText="1"/>
    </xf>
    <xf numFmtId="0" fontId="85" fillId="0" borderId="0" xfId="0" applyFont="1" applyAlignment="1">
      <alignment wrapText="1"/>
    </xf>
    <xf numFmtId="0" fontId="84" fillId="9" borderId="11" xfId="0" applyFont="1" applyFill="1" applyBorder="1" applyAlignment="1">
      <alignment vertical="center"/>
    </xf>
    <xf numFmtId="0" fontId="82" fillId="9" borderId="11" xfId="0" applyFont="1" applyFill="1" applyBorder="1" applyAlignment="1">
      <alignment vertical="center"/>
    </xf>
    <xf numFmtId="0" fontId="88" fillId="9" borderId="0" xfId="0" applyFont="1" applyFill="1"/>
    <xf numFmtId="0" fontId="86" fillId="11" borderId="1" xfId="0" applyFont="1" applyFill="1" applyBorder="1" applyAlignment="1">
      <alignment vertical="center"/>
    </xf>
    <xf numFmtId="0" fontId="89" fillId="11" borderId="2" xfId="0" applyFont="1" applyFill="1" applyBorder="1" applyAlignment="1">
      <alignment vertical="center"/>
    </xf>
    <xf numFmtId="0" fontId="86" fillId="11" borderId="2" xfId="0" applyFont="1" applyFill="1" applyBorder="1"/>
    <xf numFmtId="0" fontId="90" fillId="11" borderId="2" xfId="0" quotePrefix="1" applyFont="1" applyFill="1" applyBorder="1"/>
    <xf numFmtId="0" fontId="90" fillId="11" borderId="2" xfId="0" applyFont="1" applyFill="1" applyBorder="1"/>
    <xf numFmtId="0" fontId="91" fillId="11" borderId="2" xfId="0" applyFont="1" applyFill="1" applyBorder="1"/>
    <xf numFmtId="0" fontId="91" fillId="11" borderId="3" xfId="0" applyFont="1" applyFill="1" applyBorder="1"/>
    <xf numFmtId="0" fontId="91" fillId="0" borderId="0" xfId="0" applyFont="1"/>
    <xf numFmtId="0" fontId="92" fillId="9" borderId="5" xfId="0" applyFont="1" applyFill="1" applyBorder="1"/>
    <xf numFmtId="0" fontId="93" fillId="9" borderId="0" xfId="0" applyFont="1" applyFill="1"/>
    <xf numFmtId="0" fontId="93" fillId="9" borderId="0" xfId="0" quotePrefix="1" applyFont="1" applyFill="1"/>
    <xf numFmtId="0" fontId="93" fillId="9" borderId="6" xfId="0" applyFont="1" applyFill="1" applyBorder="1"/>
    <xf numFmtId="0" fontId="93" fillId="0" borderId="0" xfId="0" applyFont="1"/>
    <xf numFmtId="0" fontId="93" fillId="9" borderId="10" xfId="0" applyFont="1" applyFill="1" applyBorder="1"/>
    <xf numFmtId="0" fontId="93" fillId="9" borderId="11" xfId="0" applyFont="1" applyFill="1" applyBorder="1"/>
    <xf numFmtId="0" fontId="93" fillId="9" borderId="12" xfId="0" applyFont="1" applyFill="1" applyBorder="1"/>
    <xf numFmtId="0" fontId="79" fillId="9" borderId="1" xfId="0" applyFont="1" applyFill="1" applyBorder="1"/>
    <xf numFmtId="0" fontId="79" fillId="9" borderId="2" xfId="0" applyFont="1" applyFill="1" applyBorder="1"/>
    <xf numFmtId="0" fontId="79" fillId="9" borderId="3" xfId="0" applyFont="1" applyFill="1" applyBorder="1"/>
    <xf numFmtId="0" fontId="81" fillId="11" borderId="1" xfId="0" applyFont="1" applyFill="1" applyBorder="1" applyAlignment="1">
      <alignment vertical="center"/>
    </xf>
    <xf numFmtId="0" fontId="85" fillId="11" borderId="2" xfId="0" applyFont="1" applyFill="1" applyBorder="1" applyAlignment="1">
      <alignment vertical="center"/>
    </xf>
    <xf numFmtId="0" fontId="94" fillId="11" borderId="2" xfId="0" applyFont="1" applyFill="1" applyBorder="1"/>
    <xf numFmtId="0" fontId="17" fillId="11" borderId="2" xfId="0" quotePrefix="1" applyFont="1" applyFill="1" applyBorder="1"/>
    <xf numFmtId="0" fontId="17" fillId="11" borderId="2" xfId="0" applyFont="1" applyFill="1" applyBorder="1"/>
    <xf numFmtId="0" fontId="79" fillId="11" borderId="2" xfId="0" applyFont="1" applyFill="1" applyBorder="1"/>
    <xf numFmtId="0" fontId="79" fillId="11" borderId="3" xfId="0" applyFont="1" applyFill="1" applyBorder="1"/>
    <xf numFmtId="0" fontId="79" fillId="9" borderId="5" xfId="0" applyFont="1" applyFill="1" applyBorder="1"/>
    <xf numFmtId="0" fontId="79" fillId="9" borderId="6" xfId="0" applyFont="1" applyFill="1" applyBorder="1"/>
    <xf numFmtId="0" fontId="79" fillId="10" borderId="14" xfId="0" applyFont="1" applyFill="1" applyBorder="1"/>
    <xf numFmtId="0" fontId="79" fillId="10" borderId="35" xfId="0" applyFont="1" applyFill="1" applyBorder="1"/>
    <xf numFmtId="0" fontId="85" fillId="11" borderId="2" xfId="0" applyFont="1" applyFill="1" applyBorder="1"/>
    <xf numFmtId="0" fontId="17" fillId="12" borderId="0" xfId="0" applyFont="1" applyFill="1"/>
    <xf numFmtId="0" fontId="79" fillId="12" borderId="0" xfId="0" applyFont="1" applyFill="1"/>
    <xf numFmtId="0" fontId="17" fillId="9" borderId="0" xfId="0" applyFont="1" applyFill="1"/>
    <xf numFmtId="0" fontId="79" fillId="0" borderId="5" xfId="0" applyFont="1" applyBorder="1"/>
    <xf numFmtId="0" fontId="79" fillId="9" borderId="0" xfId="0" quotePrefix="1" applyFont="1" applyFill="1" applyAlignment="1">
      <alignment horizontal="left"/>
    </xf>
    <xf numFmtId="0" fontId="95" fillId="9" borderId="5" xfId="0" applyFont="1" applyFill="1" applyBorder="1"/>
    <xf numFmtId="0" fontId="79" fillId="9" borderId="32" xfId="0" applyFont="1" applyFill="1" applyBorder="1" applyAlignment="1">
      <alignment horizontal="left" vertical="center"/>
    </xf>
    <xf numFmtId="0" fontId="95" fillId="9" borderId="34" xfId="0" applyFont="1" applyFill="1" applyBorder="1" applyAlignment="1">
      <alignment horizontal="right" vertical="center"/>
    </xf>
    <xf numFmtId="0" fontId="79" fillId="9" borderId="32" xfId="0" applyFont="1" applyFill="1" applyBorder="1" applyAlignment="1">
      <alignment vertical="center"/>
    </xf>
    <xf numFmtId="0" fontId="95" fillId="10" borderId="32" xfId="0" applyFont="1" applyFill="1" applyBorder="1" applyAlignment="1">
      <alignment horizontal="right" vertical="center"/>
    </xf>
    <xf numFmtId="0" fontId="96" fillId="9" borderId="34" xfId="0" quotePrefix="1" applyFont="1" applyFill="1" applyBorder="1" applyAlignment="1">
      <alignment horizontal="center" vertical="center"/>
    </xf>
    <xf numFmtId="0" fontId="95" fillId="10" borderId="34" xfId="0" applyFont="1" applyFill="1" applyBorder="1" applyAlignment="1">
      <alignment horizontal="right" vertical="center"/>
    </xf>
    <xf numFmtId="0" fontId="79" fillId="9" borderId="34" xfId="0" applyFont="1" applyFill="1" applyBorder="1" applyAlignment="1">
      <alignment vertical="center"/>
    </xf>
    <xf numFmtId="0" fontId="95" fillId="9" borderId="33" xfId="0" applyFont="1" applyFill="1" applyBorder="1" applyAlignment="1">
      <alignment horizontal="right" vertical="center"/>
    </xf>
    <xf numFmtId="0" fontId="79" fillId="9" borderId="1" xfId="0" applyFont="1" applyFill="1" applyBorder="1" applyAlignment="1">
      <alignment vertical="center"/>
    </xf>
    <xf numFmtId="0" fontId="95" fillId="9" borderId="3" xfId="0" applyFont="1" applyFill="1" applyBorder="1" applyAlignment="1">
      <alignment horizontal="right" vertical="center"/>
    </xf>
    <xf numFmtId="0" fontId="79" fillId="9" borderId="10" xfId="0" applyFont="1" applyFill="1" applyBorder="1" applyAlignment="1">
      <alignment vertical="center"/>
    </xf>
    <xf numFmtId="0" fontId="79" fillId="9" borderId="12" xfId="0" applyFont="1" applyFill="1" applyBorder="1" applyAlignment="1">
      <alignment vertical="center"/>
    </xf>
    <xf numFmtId="0" fontId="79" fillId="9" borderId="0" xfId="0" quotePrefix="1" applyFont="1" applyFill="1"/>
    <xf numFmtId="0" fontId="85" fillId="9" borderId="33" xfId="0" applyFont="1" applyFill="1" applyBorder="1" applyAlignment="1">
      <alignment vertical="center"/>
    </xf>
    <xf numFmtId="0" fontId="79" fillId="9" borderId="10" xfId="0" applyFont="1" applyFill="1" applyBorder="1"/>
    <xf numFmtId="0" fontId="79" fillId="9" borderId="11" xfId="0" applyFont="1" applyFill="1" applyBorder="1"/>
    <xf numFmtId="0" fontId="79" fillId="9" borderId="12" xfId="0" applyFont="1" applyFill="1" applyBorder="1"/>
    <xf numFmtId="0" fontId="95" fillId="9" borderId="0" xfId="0" applyFont="1" applyFill="1" applyAlignment="1">
      <alignment horizontal="center"/>
    </xf>
    <xf numFmtId="0" fontId="79" fillId="9" borderId="0" xfId="0" applyFont="1" applyFill="1" applyAlignment="1">
      <alignment horizontal="center"/>
    </xf>
    <xf numFmtId="0" fontId="79" fillId="9" borderId="6" xfId="0" applyFont="1" applyFill="1" applyBorder="1" applyAlignment="1">
      <alignment horizontal="center"/>
    </xf>
    <xf numFmtId="0" fontId="84" fillId="9" borderId="5" xfId="0" applyFont="1" applyFill="1" applyBorder="1" applyAlignment="1">
      <alignment vertical="center"/>
    </xf>
    <xf numFmtId="0" fontId="85" fillId="9" borderId="0" xfId="0" applyFont="1" applyFill="1"/>
    <xf numFmtId="0" fontId="95" fillId="9" borderId="0" xfId="0" applyFont="1" applyFill="1"/>
    <xf numFmtId="0" fontId="85" fillId="0" borderId="0" xfId="0" applyFont="1"/>
    <xf numFmtId="0" fontId="79" fillId="10" borderId="14" xfId="0" applyFont="1" applyFill="1" applyBorder="1" applyAlignment="1">
      <alignment horizontal="center"/>
    </xf>
    <xf numFmtId="0" fontId="95" fillId="9" borderId="11" xfId="0" applyFont="1" applyFill="1" applyBorder="1"/>
    <xf numFmtId="0" fontId="76" fillId="0" borderId="0" xfId="4"/>
    <xf numFmtId="0" fontId="79" fillId="9" borderId="10" xfId="0" applyFont="1" applyFill="1" applyBorder="1" applyAlignment="1">
      <alignment horizontal="center"/>
    </xf>
    <xf numFmtId="0" fontId="79" fillId="9" borderId="11" xfId="0" applyFont="1" applyFill="1" applyBorder="1" applyAlignment="1">
      <alignment horizontal="center"/>
    </xf>
    <xf numFmtId="15" fontId="17" fillId="9" borderId="11" xfId="0" applyNumberFormat="1" applyFont="1" applyFill="1" applyBorder="1"/>
    <xf numFmtId="0" fontId="79" fillId="9" borderId="11" xfId="0" applyFont="1" applyFill="1" applyBorder="1" applyAlignment="1">
      <alignment horizontal="right"/>
    </xf>
    <xf numFmtId="15" fontId="17" fillId="9" borderId="11" xfId="0" quotePrefix="1" applyNumberFormat="1" applyFont="1" applyFill="1" applyBorder="1"/>
    <xf numFmtId="0" fontId="79" fillId="0" borderId="0" xfId="0" applyFont="1" applyAlignment="1">
      <alignment vertical="center"/>
    </xf>
    <xf numFmtId="0" fontId="5" fillId="0" borderId="0" xfId="0" applyFont="1" applyAlignment="1">
      <alignment horizontal="center"/>
    </xf>
    <xf numFmtId="0" fontId="74" fillId="0" borderId="1" xfId="0" applyFont="1" applyBorder="1" applyAlignment="1">
      <alignment horizontal="center" wrapText="1"/>
    </xf>
    <xf numFmtId="0" fontId="74" fillId="0" borderId="2" xfId="0" applyFont="1" applyBorder="1" applyAlignment="1">
      <alignment horizontal="center"/>
    </xf>
    <xf numFmtId="0" fontId="75" fillId="2" borderId="2" xfId="0" applyFont="1" applyFill="1" applyBorder="1" applyAlignment="1">
      <alignment horizontal="center" wrapText="1"/>
    </xf>
    <xf numFmtId="0" fontId="97" fillId="2" borderId="22" xfId="0" applyFont="1" applyFill="1" applyBorder="1" applyAlignment="1">
      <alignment horizontal="center" wrapText="1"/>
    </xf>
    <xf numFmtId="0" fontId="74" fillId="0" borderId="2" xfId="0" applyFont="1" applyBorder="1" applyAlignment="1">
      <alignment horizontal="center" wrapText="1"/>
    </xf>
    <xf numFmtId="0" fontId="98" fillId="0" borderId="22" xfId="0" applyFont="1" applyBorder="1" applyAlignment="1">
      <alignment horizontal="center" wrapText="1"/>
    </xf>
    <xf numFmtId="0" fontId="4" fillId="0" borderId="3" xfId="0" applyFont="1" applyBorder="1" applyAlignment="1">
      <alignment horizontal="center" wrapText="1"/>
    </xf>
    <xf numFmtId="0" fontId="99" fillId="0" borderId="22" xfId="0" applyFont="1" applyBorder="1" applyAlignment="1">
      <alignment wrapText="1"/>
    </xf>
    <xf numFmtId="0" fontId="99" fillId="0" borderId="22" xfId="0" applyFont="1" applyBorder="1" applyAlignment="1">
      <alignment horizontal="center" wrapText="1"/>
    </xf>
    <xf numFmtId="164" fontId="98" fillId="0" borderId="1" xfId="2" applyNumberFormat="1" applyFont="1" applyBorder="1" applyAlignment="1">
      <alignment wrapText="1"/>
    </xf>
    <xf numFmtId="0" fontId="99" fillId="0" borderId="0" xfId="0" applyFont="1" applyAlignment="1">
      <alignment wrapText="1"/>
    </xf>
    <xf numFmtId="0" fontId="74" fillId="0" borderId="0" xfId="0" applyFont="1" applyAlignment="1">
      <alignment horizontal="center" wrapText="1"/>
    </xf>
    <xf numFmtId="0" fontId="98" fillId="0" borderId="2" xfId="0" applyFont="1" applyBorder="1" applyAlignment="1">
      <alignment horizontal="center" wrapText="1"/>
    </xf>
    <xf numFmtId="0" fontId="71" fillId="0" borderId="0" xfId="0" applyFont="1" applyAlignment="1">
      <alignment wrapText="1"/>
    </xf>
    <xf numFmtId="0" fontId="4" fillId="0" borderId="21" xfId="0" applyFont="1" applyBorder="1" applyAlignment="1">
      <alignment horizontal="center" wrapText="1"/>
    </xf>
    <xf numFmtId="0" fontId="100" fillId="0" borderId="21" xfId="0" applyFont="1" applyBorder="1" applyAlignment="1">
      <alignment horizontal="center" wrapText="1"/>
    </xf>
    <xf numFmtId="0" fontId="101" fillId="3" borderId="21" xfId="0" applyFont="1" applyFill="1" applyBorder="1" applyAlignment="1">
      <alignment horizontal="center" wrapText="1"/>
    </xf>
    <xf numFmtId="0" fontId="100" fillId="3" borderId="21" xfId="0" applyFont="1" applyFill="1" applyBorder="1" applyAlignment="1">
      <alignment horizontal="center" wrapText="1"/>
    </xf>
    <xf numFmtId="165" fontId="100" fillId="0" borderId="21" xfId="0" applyNumberFormat="1" applyFont="1" applyBorder="1" applyAlignment="1">
      <alignment horizontal="center" wrapText="1"/>
    </xf>
    <xf numFmtId="9" fontId="100" fillId="0" borderId="21" xfId="1" applyFont="1" applyFill="1" applyBorder="1" applyAlignment="1">
      <alignment horizontal="center" wrapText="1"/>
    </xf>
    <xf numFmtId="0" fontId="102" fillId="0" borderId="21" xfId="0" applyFont="1" applyBorder="1" applyAlignment="1">
      <alignment horizontal="center" wrapText="1"/>
    </xf>
    <xf numFmtId="0" fontId="100" fillId="0" borderId="0" xfId="0" applyFont="1" applyAlignment="1">
      <alignment horizontal="center" wrapText="1"/>
    </xf>
    <xf numFmtId="0" fontId="102" fillId="0" borderId="27" xfId="0" applyFont="1" applyBorder="1" applyAlignment="1">
      <alignment horizontal="center" wrapText="1"/>
    </xf>
    <xf numFmtId="0" fontId="103" fillId="0" borderId="16" xfId="0" applyFont="1" applyBorder="1" applyAlignment="1">
      <alignment wrapText="1"/>
    </xf>
    <xf numFmtId="0" fontId="97" fillId="0" borderId="21" xfId="0" applyFont="1" applyBorder="1" applyAlignment="1">
      <alignment horizontal="center" wrapText="1"/>
    </xf>
    <xf numFmtId="0" fontId="104" fillId="0" borderId="21" xfId="0" applyFont="1" applyBorder="1" applyAlignment="1">
      <alignment horizontal="center" wrapText="1"/>
    </xf>
    <xf numFmtId="0" fontId="97" fillId="3" borderId="21" xfId="0" applyFont="1" applyFill="1" applyBorder="1" applyAlignment="1">
      <alignment horizontal="center" wrapText="1"/>
    </xf>
    <xf numFmtId="0" fontId="102" fillId="0" borderId="0" xfId="0" applyFont="1" applyAlignment="1">
      <alignment horizontal="center" wrapText="1"/>
    </xf>
    <xf numFmtId="0" fontId="105" fillId="0" borderId="21" xfId="0" applyFont="1" applyBorder="1" applyAlignment="1">
      <alignment horizontal="center" wrapText="1"/>
    </xf>
    <xf numFmtId="165" fontId="105" fillId="3" borderId="21" xfId="0" applyNumberFormat="1" applyFont="1" applyFill="1" applyBorder="1" applyAlignment="1">
      <alignment horizontal="center" wrapText="1"/>
    </xf>
    <xf numFmtId="0" fontId="105" fillId="3" borderId="21" xfId="0" applyFont="1" applyFill="1" applyBorder="1" applyAlignment="1">
      <alignment horizontal="center" wrapText="1"/>
    </xf>
    <xf numFmtId="0" fontId="106" fillId="3" borderId="21" xfId="0" applyFont="1" applyFill="1" applyBorder="1" applyAlignment="1">
      <alignment horizontal="center" wrapText="1"/>
    </xf>
    <xf numFmtId="0" fontId="72" fillId="0" borderId="21" xfId="0" applyFont="1" applyBorder="1" applyAlignment="1">
      <alignment horizontal="center" wrapText="1"/>
    </xf>
    <xf numFmtId="0" fontId="105" fillId="0" borderId="21" xfId="0" applyFont="1" applyBorder="1"/>
    <xf numFmtId="0" fontId="105" fillId="0" borderId="21" xfId="0" applyFont="1" applyBorder="1" applyAlignment="1">
      <alignment wrapText="1"/>
    </xf>
    <xf numFmtId="0" fontId="105" fillId="3" borderId="21" xfId="0" applyFont="1" applyFill="1" applyBorder="1" applyAlignment="1">
      <alignment horizontal="center"/>
    </xf>
    <xf numFmtId="9" fontId="105" fillId="0" borderId="21" xfId="1" applyFont="1" applyBorder="1" applyAlignment="1">
      <alignment horizontal="center" wrapText="1"/>
    </xf>
    <xf numFmtId="0" fontId="104" fillId="0" borderId="21" xfId="0" applyFont="1" applyBorder="1" applyAlignment="1">
      <alignment wrapText="1"/>
    </xf>
    <xf numFmtId="0" fontId="107" fillId="0" borderId="0" xfId="0" applyFont="1" applyAlignment="1">
      <alignment wrapText="1"/>
    </xf>
    <xf numFmtId="0" fontId="5" fillId="0" borderId="1" xfId="0" applyFont="1" applyBorder="1"/>
    <xf numFmtId="0" fontId="71" fillId="2" borderId="2" xfId="0" applyFont="1" applyFill="1" applyBorder="1" applyAlignment="1">
      <alignment horizontal="center"/>
    </xf>
    <xf numFmtId="0" fontId="108" fillId="2" borderId="22" xfId="0" applyFont="1" applyFill="1" applyBorder="1" applyAlignment="1">
      <alignment horizontal="center"/>
    </xf>
    <xf numFmtId="164" fontId="5" fillId="0" borderId="2" xfId="0" applyNumberFormat="1" applyFont="1" applyBorder="1"/>
    <xf numFmtId="164" fontId="109" fillId="0" borderId="22" xfId="0" applyNumberFormat="1" applyFont="1" applyBorder="1"/>
    <xf numFmtId="9" fontId="109" fillId="0" borderId="22" xfId="1" applyFont="1" applyBorder="1" applyAlignment="1">
      <alignment horizontal="center"/>
    </xf>
    <xf numFmtId="164" fontId="9" fillId="0" borderId="3" xfId="0" applyNumberFormat="1" applyFont="1" applyBorder="1"/>
    <xf numFmtId="164" fontId="99" fillId="0" borderId="22" xfId="0" applyNumberFormat="1" applyFont="1" applyBorder="1"/>
    <xf numFmtId="9" fontId="99" fillId="0" borderId="22" xfId="1" applyFont="1" applyBorder="1" applyAlignment="1">
      <alignment horizontal="center"/>
    </xf>
    <xf numFmtId="164" fontId="98" fillId="0" borderId="1" xfId="2" applyNumberFormat="1" applyFont="1" applyBorder="1"/>
    <xf numFmtId="9" fontId="98" fillId="0" borderId="22" xfId="1" applyFont="1" applyBorder="1" applyAlignment="1">
      <alignment horizontal="center"/>
    </xf>
    <xf numFmtId="9" fontId="99" fillId="0" borderId="2" xfId="1" applyFont="1" applyBorder="1"/>
    <xf numFmtId="0" fontId="109" fillId="0" borderId="22" xfId="0" applyFont="1" applyBorder="1"/>
    <xf numFmtId="0" fontId="109" fillId="0" borderId="2" xfId="0" applyFont="1" applyBorder="1"/>
    <xf numFmtId="165" fontId="109" fillId="0" borderId="22" xfId="0" applyNumberFormat="1" applyFont="1" applyBorder="1" applyAlignment="1">
      <alignment horizontal="center"/>
    </xf>
    <xf numFmtId="0" fontId="71" fillId="0" borderId="2" xfId="0" applyFont="1" applyBorder="1"/>
    <xf numFmtId="165" fontId="72" fillId="0" borderId="4" xfId="0" applyNumberFormat="1" applyFont="1" applyBorder="1"/>
    <xf numFmtId="9" fontId="72" fillId="0" borderId="4" xfId="1" applyFont="1" applyBorder="1"/>
    <xf numFmtId="165" fontId="9" fillId="0" borderId="4" xfId="0" applyNumberFormat="1" applyFont="1" applyBorder="1"/>
    <xf numFmtId="9" fontId="9" fillId="0" borderId="5" xfId="1" applyFont="1" applyBorder="1"/>
    <xf numFmtId="9" fontId="72" fillId="0" borderId="22" xfId="1" applyFont="1" applyBorder="1"/>
    <xf numFmtId="9" fontId="72" fillId="0" borderId="3" xfId="1" applyFont="1" applyBorder="1"/>
    <xf numFmtId="165" fontId="72" fillId="0" borderId="3" xfId="1" applyNumberFormat="1" applyFont="1" applyBorder="1"/>
    <xf numFmtId="0" fontId="72" fillId="0" borderId="0" xfId="1" applyNumberFormat="1" applyFont="1" applyBorder="1"/>
    <xf numFmtId="0" fontId="4" fillId="5" borderId="28" xfId="0" applyFont="1" applyFill="1" applyBorder="1"/>
    <xf numFmtId="0" fontId="103" fillId="5" borderId="30" xfId="0" applyFont="1" applyFill="1" applyBorder="1"/>
    <xf numFmtId="165" fontId="108" fillId="0" borderId="22" xfId="1" applyNumberFormat="1" applyFont="1" applyBorder="1"/>
    <xf numFmtId="165" fontId="108" fillId="0" borderId="1" xfId="1" applyNumberFormat="1" applyFont="1" applyBorder="1"/>
    <xf numFmtId="165" fontId="110" fillId="0" borderId="2" xfId="1" applyNumberFormat="1" applyFont="1" applyBorder="1"/>
    <xf numFmtId="165" fontId="110" fillId="0" borderId="1" xfId="1" applyNumberFormat="1" applyFont="1" applyBorder="1"/>
    <xf numFmtId="165" fontId="110" fillId="0" borderId="22" xfId="1" applyNumberFormat="1" applyFont="1" applyBorder="1"/>
    <xf numFmtId="0" fontId="9" fillId="0" borderId="0" xfId="0" applyFont="1" applyAlignment="1">
      <alignment horizontal="center"/>
    </xf>
    <xf numFmtId="0" fontId="105" fillId="0" borderId="22" xfId="0" applyFont="1" applyBorder="1"/>
    <xf numFmtId="9" fontId="105" fillId="0" borderId="22" xfId="1" applyFont="1" applyBorder="1"/>
    <xf numFmtId="165" fontId="105" fillId="0" borderId="22" xfId="1" applyNumberFormat="1" applyFont="1" applyBorder="1"/>
    <xf numFmtId="165" fontId="105" fillId="0" borderId="22" xfId="0" applyNumberFormat="1" applyFont="1" applyBorder="1"/>
    <xf numFmtId="9" fontId="105" fillId="0" borderId="22" xfId="1" applyFont="1" applyBorder="1" applyAlignment="1">
      <alignment horizontal="center"/>
    </xf>
    <xf numFmtId="0" fontId="9" fillId="0" borderId="22" xfId="0" applyFont="1" applyBorder="1"/>
    <xf numFmtId="165" fontId="105" fillId="0" borderId="22" xfId="1" applyNumberFormat="1" applyFont="1" applyBorder="1" applyAlignment="1">
      <alignment horizontal="center"/>
    </xf>
    <xf numFmtId="0" fontId="110" fillId="0" borderId="22" xfId="0" applyFont="1" applyBorder="1"/>
    <xf numFmtId="0" fontId="73" fillId="0" borderId="0" xfId="0" applyFont="1"/>
    <xf numFmtId="9" fontId="5" fillId="0" borderId="0" xfId="0" applyNumberFormat="1" applyFont="1"/>
    <xf numFmtId="9" fontId="5" fillId="0" borderId="0" xfId="1" applyFont="1" applyBorder="1"/>
    <xf numFmtId="9" fontId="71" fillId="2" borderId="0" xfId="1" applyFont="1" applyFill="1" applyBorder="1" applyAlignment="1">
      <alignment horizontal="center"/>
    </xf>
    <xf numFmtId="9" fontId="108" fillId="2" borderId="4" xfId="1" applyFont="1" applyFill="1" applyBorder="1" applyAlignment="1">
      <alignment horizontal="center"/>
    </xf>
    <xf numFmtId="164" fontId="5" fillId="0" borderId="0" xfId="1" applyNumberFormat="1" applyFont="1" applyBorder="1"/>
    <xf numFmtId="164" fontId="109" fillId="0" borderId="4" xfId="1" applyNumberFormat="1" applyFont="1" applyBorder="1"/>
    <xf numFmtId="9" fontId="109" fillId="0" borderId="4" xfId="1" applyFont="1" applyBorder="1" applyAlignment="1">
      <alignment horizontal="center"/>
    </xf>
    <xf numFmtId="164" fontId="9" fillId="0" borderId="6" xfId="1" applyNumberFormat="1" applyFont="1" applyFill="1" applyBorder="1"/>
    <xf numFmtId="164" fontId="99" fillId="0" borderId="4" xfId="0" applyNumberFormat="1" applyFont="1" applyBorder="1"/>
    <xf numFmtId="9" fontId="99" fillId="0" borderId="4" xfId="1" applyFont="1" applyBorder="1" applyAlignment="1">
      <alignment horizontal="center"/>
    </xf>
    <xf numFmtId="164" fontId="98" fillId="0" borderId="5" xfId="2" applyNumberFormat="1" applyFont="1" applyBorder="1"/>
    <xf numFmtId="9" fontId="98" fillId="0" borderId="4" xfId="1" applyFont="1" applyBorder="1" applyAlignment="1">
      <alignment horizontal="center"/>
    </xf>
    <xf numFmtId="9" fontId="99" fillId="0" borderId="0" xfId="1" applyFont="1" applyBorder="1"/>
    <xf numFmtId="0" fontId="109" fillId="0" borderId="4" xfId="0" applyFont="1" applyBorder="1"/>
    <xf numFmtId="0" fontId="109" fillId="0" borderId="0" xfId="0" applyFont="1"/>
    <xf numFmtId="165" fontId="109" fillId="0" borderId="4" xfId="0" applyNumberFormat="1" applyFont="1" applyBorder="1" applyAlignment="1">
      <alignment horizontal="center"/>
    </xf>
    <xf numFmtId="164" fontId="9" fillId="0" borderId="6" xfId="1" applyNumberFormat="1" applyFont="1" applyBorder="1"/>
    <xf numFmtId="165" fontId="72" fillId="0" borderId="4" xfId="1" applyNumberFormat="1" applyFont="1" applyBorder="1"/>
    <xf numFmtId="165" fontId="9" fillId="0" borderId="4" xfId="1" applyNumberFormat="1" applyFont="1" applyBorder="1"/>
    <xf numFmtId="9" fontId="72" fillId="0" borderId="6" xfId="1" applyFont="1" applyBorder="1"/>
    <xf numFmtId="165" fontId="72" fillId="0" borderId="6" xfId="1" applyNumberFormat="1" applyFont="1" applyBorder="1"/>
    <xf numFmtId="165" fontId="108" fillId="0" borderId="4" xfId="1" applyNumberFormat="1" applyFont="1" applyBorder="1"/>
    <xf numFmtId="165" fontId="108" fillId="0" borderId="5" xfId="1" applyNumberFormat="1" applyFont="1" applyBorder="1"/>
    <xf numFmtId="165" fontId="110" fillId="0" borderId="0" xfId="1" applyNumberFormat="1" applyFont="1" applyBorder="1"/>
    <xf numFmtId="165" fontId="110" fillId="0" borderId="5" xfId="1" applyNumberFormat="1" applyFont="1" applyBorder="1"/>
    <xf numFmtId="165" fontId="110" fillId="0" borderId="4" xfId="1" applyNumberFormat="1" applyFont="1" applyBorder="1"/>
    <xf numFmtId="0" fontId="105" fillId="0" borderId="4" xfId="0" applyFont="1" applyBorder="1"/>
    <xf numFmtId="9" fontId="105" fillId="0" borderId="4" xfId="1" applyFont="1" applyBorder="1"/>
    <xf numFmtId="165" fontId="105" fillId="0" borderId="4" xfId="1" applyNumberFormat="1" applyFont="1" applyBorder="1"/>
    <xf numFmtId="165" fontId="105" fillId="0" borderId="4" xfId="0" applyNumberFormat="1" applyFont="1" applyBorder="1"/>
    <xf numFmtId="9" fontId="105" fillId="0" borderId="4" xfId="1" applyFont="1" applyBorder="1" applyAlignment="1">
      <alignment horizontal="center"/>
    </xf>
    <xf numFmtId="0" fontId="9" fillId="0" borderId="4" xfId="0" applyFont="1" applyBorder="1"/>
    <xf numFmtId="165" fontId="105" fillId="0" borderId="4" xfId="1" applyNumberFormat="1" applyFont="1" applyBorder="1" applyAlignment="1">
      <alignment horizontal="center"/>
    </xf>
    <xf numFmtId="0" fontId="110" fillId="0" borderId="4" xfId="0" applyFont="1" applyBorder="1"/>
    <xf numFmtId="0" fontId="71" fillId="2" borderId="0" xfId="0" applyFont="1" applyFill="1" applyAlignment="1">
      <alignment horizontal="center"/>
    </xf>
    <xf numFmtId="0" fontId="108" fillId="2" borderId="4" xfId="0" applyFont="1" applyFill="1" applyBorder="1" applyAlignment="1">
      <alignment horizontal="center"/>
    </xf>
    <xf numFmtId="164" fontId="5" fillId="0" borderId="0" xfId="0" applyNumberFormat="1" applyFont="1"/>
    <xf numFmtId="164" fontId="109" fillId="0" borderId="4" xfId="0" applyNumberFormat="1" applyFont="1" applyBorder="1"/>
    <xf numFmtId="0" fontId="109" fillId="0" borderId="4" xfId="0" applyFont="1" applyBorder="1" applyAlignment="1">
      <alignment horizontal="center"/>
    </xf>
    <xf numFmtId="164" fontId="9" fillId="0" borderId="6" xfId="0" applyNumberFormat="1" applyFont="1" applyBorder="1"/>
    <xf numFmtId="2" fontId="71" fillId="2" borderId="0" xfId="1" applyNumberFormat="1" applyFont="1" applyFill="1" applyBorder="1" applyAlignment="1">
      <alignment horizontal="center"/>
    </xf>
    <xf numFmtId="2" fontId="108" fillId="2" borderId="4" xfId="1" applyNumberFormat="1" applyFont="1" applyFill="1" applyBorder="1" applyAlignment="1">
      <alignment horizontal="center"/>
    </xf>
    <xf numFmtId="164" fontId="71" fillId="0" borderId="0" xfId="1" applyNumberFormat="1" applyFont="1" applyBorder="1"/>
    <xf numFmtId="164" fontId="72" fillId="0" borderId="6" xfId="1" applyNumberFormat="1" applyFont="1" applyFill="1" applyBorder="1"/>
    <xf numFmtId="165" fontId="109" fillId="0" borderId="4" xfId="0" applyNumberFormat="1" applyFont="1" applyBorder="1"/>
    <xf numFmtId="9" fontId="109" fillId="0" borderId="0" xfId="1" applyFont="1" applyBorder="1"/>
    <xf numFmtId="165" fontId="109" fillId="0" borderId="4" xfId="1" applyNumberFormat="1" applyFont="1" applyBorder="1" applyAlignment="1">
      <alignment horizontal="center"/>
    </xf>
    <xf numFmtId="9" fontId="109" fillId="0" borderId="4" xfId="1" applyFont="1" applyBorder="1"/>
    <xf numFmtId="0" fontId="71" fillId="0" borderId="0" xfId="0" applyFont="1" applyAlignment="1">
      <alignment horizontal="right"/>
    </xf>
    <xf numFmtId="165" fontId="111" fillId="0" borderId="4" xfId="1" applyNumberFormat="1" applyFont="1" applyBorder="1"/>
    <xf numFmtId="9" fontId="111" fillId="0" borderId="4" xfId="1" applyFont="1" applyBorder="1"/>
    <xf numFmtId="165" fontId="112" fillId="0" borderId="4" xfId="1" applyNumberFormat="1" applyFont="1" applyBorder="1"/>
    <xf numFmtId="9" fontId="112" fillId="0" borderId="5" xfId="1" applyFont="1" applyBorder="1"/>
    <xf numFmtId="165" fontId="111" fillId="0" borderId="4" xfId="3" applyNumberFormat="1" applyFont="1" applyBorder="1"/>
    <xf numFmtId="165" fontId="111" fillId="0" borderId="6" xfId="3" applyNumberFormat="1" applyFont="1" applyBorder="1"/>
    <xf numFmtId="9" fontId="111" fillId="0" borderId="6" xfId="1" applyFont="1" applyBorder="1"/>
    <xf numFmtId="165" fontId="111" fillId="0" borderId="6" xfId="1" applyNumberFormat="1" applyFont="1" applyBorder="1"/>
    <xf numFmtId="165" fontId="72" fillId="0" borderId="6" xfId="1" applyNumberFormat="1" applyFont="1" applyFill="1" applyBorder="1"/>
    <xf numFmtId="0" fontId="111" fillId="0" borderId="0" xfId="1" applyNumberFormat="1" applyFont="1" applyBorder="1"/>
    <xf numFmtId="0" fontId="72" fillId="5" borderId="28" xfId="0" applyFont="1" applyFill="1" applyBorder="1"/>
    <xf numFmtId="165" fontId="108" fillId="0" borderId="4" xfId="1" applyNumberFormat="1" applyFont="1" applyFill="1" applyBorder="1"/>
    <xf numFmtId="165" fontId="108" fillId="0" borderId="5" xfId="1" applyNumberFormat="1" applyFont="1" applyFill="1" applyBorder="1"/>
    <xf numFmtId="165" fontId="110" fillId="0" borderId="0" xfId="1" applyNumberFormat="1" applyFont="1" applyFill="1" applyBorder="1"/>
    <xf numFmtId="165" fontId="110" fillId="0" borderId="5" xfId="1" applyNumberFormat="1" applyFont="1" applyFill="1" applyBorder="1"/>
    <xf numFmtId="165" fontId="110" fillId="0" borderId="4" xfId="1" applyNumberFormat="1" applyFont="1" applyFill="1" applyBorder="1"/>
    <xf numFmtId="9" fontId="110" fillId="0" borderId="4" xfId="1" applyFont="1" applyFill="1" applyBorder="1"/>
    <xf numFmtId="165" fontId="72" fillId="5" borderId="6" xfId="1" applyNumberFormat="1" applyFont="1" applyFill="1" applyBorder="1"/>
    <xf numFmtId="0" fontId="9" fillId="0" borderId="0" xfId="0" applyFont="1" applyAlignment="1">
      <alignment horizontal="left"/>
    </xf>
    <xf numFmtId="165" fontId="110" fillId="0" borderId="4" xfId="0" applyNumberFormat="1" applyFont="1" applyBorder="1"/>
    <xf numFmtId="10" fontId="105" fillId="0" borderId="4" xfId="0" applyNumberFormat="1" applyFont="1" applyBorder="1"/>
    <xf numFmtId="0" fontId="71" fillId="2" borderId="0" xfId="1" applyNumberFormat="1" applyFont="1" applyFill="1" applyBorder="1" applyAlignment="1">
      <alignment horizontal="center"/>
    </xf>
    <xf numFmtId="0" fontId="108" fillId="2" borderId="4" xfId="1" applyNumberFormat="1" applyFont="1" applyFill="1" applyBorder="1" applyAlignment="1">
      <alignment horizontal="center"/>
    </xf>
    <xf numFmtId="0" fontId="73" fillId="0" borderId="0" xfId="0" applyFont="1" applyAlignment="1">
      <alignment wrapText="1"/>
    </xf>
    <xf numFmtId="0" fontId="5" fillId="6" borderId="0" xfId="0" applyFont="1" applyFill="1"/>
    <xf numFmtId="9" fontId="5" fillId="6" borderId="0" xfId="0" applyNumberFormat="1" applyFont="1" applyFill="1"/>
    <xf numFmtId="0" fontId="5" fillId="6" borderId="5" xfId="0" applyFont="1" applyFill="1" applyBorder="1"/>
    <xf numFmtId="9" fontId="5" fillId="6" borderId="0" xfId="1" applyFont="1" applyFill="1" applyBorder="1"/>
    <xf numFmtId="0" fontId="71" fillId="6" borderId="0" xfId="1" applyNumberFormat="1" applyFont="1" applyFill="1" applyBorder="1" applyAlignment="1">
      <alignment horizontal="center"/>
    </xf>
    <xf numFmtId="0" fontId="108" fillId="6" borderId="4" xfId="1" applyNumberFormat="1" applyFont="1" applyFill="1" applyBorder="1" applyAlignment="1">
      <alignment horizontal="center"/>
    </xf>
    <xf numFmtId="164" fontId="71" fillId="6" borderId="0" xfId="1" applyNumberFormat="1" applyFont="1" applyFill="1" applyBorder="1"/>
    <xf numFmtId="164" fontId="109" fillId="6" borderId="4" xfId="1" applyNumberFormat="1" applyFont="1" applyFill="1" applyBorder="1"/>
    <xf numFmtId="9" fontId="109" fillId="6" borderId="4" xfId="1" applyFont="1" applyFill="1" applyBorder="1" applyAlignment="1">
      <alignment horizontal="center"/>
    </xf>
    <xf numFmtId="164" fontId="99" fillId="6" borderId="4" xfId="0" applyNumberFormat="1" applyFont="1" applyFill="1" applyBorder="1"/>
    <xf numFmtId="9" fontId="99" fillId="6" borderId="4" xfId="1" applyFont="1" applyFill="1" applyBorder="1" applyAlignment="1">
      <alignment horizontal="center"/>
    </xf>
    <xf numFmtId="164" fontId="98" fillId="6" borderId="5" xfId="2" applyNumberFormat="1" applyFont="1" applyFill="1" applyBorder="1"/>
    <xf numFmtId="9" fontId="98" fillId="6" borderId="4" xfId="1" applyFont="1" applyFill="1" applyBorder="1" applyAlignment="1">
      <alignment horizontal="center"/>
    </xf>
    <xf numFmtId="9" fontId="99" fillId="6" borderId="0" xfId="1" applyFont="1" applyFill="1" applyBorder="1"/>
    <xf numFmtId="165" fontId="109" fillId="6" borderId="4" xfId="0" applyNumberFormat="1" applyFont="1" applyFill="1" applyBorder="1"/>
    <xf numFmtId="9" fontId="109" fillId="6" borderId="0" xfId="1" applyFont="1" applyFill="1" applyBorder="1"/>
    <xf numFmtId="165" fontId="109" fillId="6" borderId="4" xfId="1" applyNumberFormat="1" applyFont="1" applyFill="1" applyBorder="1" applyAlignment="1">
      <alignment horizontal="center"/>
    </xf>
    <xf numFmtId="9" fontId="109" fillId="6" borderId="4" xfId="1" applyFont="1" applyFill="1" applyBorder="1"/>
    <xf numFmtId="0" fontId="71" fillId="6" borderId="0" xfId="0" applyFont="1" applyFill="1" applyAlignment="1">
      <alignment horizontal="right"/>
    </xf>
    <xf numFmtId="164" fontId="9" fillId="6" borderId="6" xfId="1" applyNumberFormat="1" applyFont="1" applyFill="1" applyBorder="1"/>
    <xf numFmtId="165" fontId="111" fillId="6" borderId="4" xfId="1" applyNumberFormat="1" applyFont="1" applyFill="1" applyBorder="1"/>
    <xf numFmtId="9" fontId="111" fillId="6" borderId="4" xfId="1" applyFont="1" applyFill="1" applyBorder="1"/>
    <xf numFmtId="165" fontId="112" fillId="6" borderId="4" xfId="1" applyNumberFormat="1" applyFont="1" applyFill="1" applyBorder="1"/>
    <xf numFmtId="9" fontId="112" fillId="6" borderId="5" xfId="1" applyFont="1" applyFill="1" applyBorder="1"/>
    <xf numFmtId="165" fontId="111" fillId="6" borderId="4" xfId="3" applyNumberFormat="1" applyFont="1" applyFill="1" applyBorder="1"/>
    <xf numFmtId="165" fontId="111" fillId="6" borderId="6" xfId="3" applyNumberFormat="1" applyFont="1" applyFill="1" applyBorder="1"/>
    <xf numFmtId="9" fontId="111" fillId="6" borderId="6" xfId="1" applyFont="1" applyFill="1" applyBorder="1"/>
    <xf numFmtId="165" fontId="111" fillId="6" borderId="6" xfId="1" applyNumberFormat="1" applyFont="1" applyFill="1" applyBorder="1"/>
    <xf numFmtId="165" fontId="72" fillId="6" borderId="6" xfId="1" applyNumberFormat="1" applyFont="1" applyFill="1" applyBorder="1"/>
    <xf numFmtId="0" fontId="111" fillId="6" borderId="0" xfId="1" applyNumberFormat="1" applyFont="1" applyFill="1" applyBorder="1"/>
    <xf numFmtId="0" fontId="4" fillId="6" borderId="28" xfId="0" applyFont="1" applyFill="1" applyBorder="1"/>
    <xf numFmtId="0" fontId="103" fillId="6" borderId="30" xfId="0" applyFont="1" applyFill="1" applyBorder="1"/>
    <xf numFmtId="165" fontId="108" fillId="6" borderId="4" xfId="1" applyNumberFormat="1" applyFont="1" applyFill="1" applyBorder="1"/>
    <xf numFmtId="165" fontId="108" fillId="6" borderId="5" xfId="1" applyNumberFormat="1" applyFont="1" applyFill="1" applyBorder="1"/>
    <xf numFmtId="165" fontId="110" fillId="6" borderId="0" xfId="1" applyNumberFormat="1" applyFont="1" applyFill="1" applyBorder="1"/>
    <xf numFmtId="165" fontId="110" fillId="6" borderId="5" xfId="1" applyNumberFormat="1" applyFont="1" applyFill="1" applyBorder="1"/>
    <xf numFmtId="165" fontId="110" fillId="6" borderId="4" xfId="1" applyNumberFormat="1" applyFont="1" applyFill="1" applyBorder="1"/>
    <xf numFmtId="9" fontId="110" fillId="6" borderId="4" xfId="1" applyFont="1" applyFill="1" applyBorder="1"/>
    <xf numFmtId="0" fontId="9" fillId="6" borderId="0" xfId="0" applyFont="1" applyFill="1" applyAlignment="1">
      <alignment horizontal="left"/>
    </xf>
    <xf numFmtId="165" fontId="105" fillId="6" borderId="4" xfId="0" applyNumberFormat="1" applyFont="1" applyFill="1" applyBorder="1"/>
    <xf numFmtId="9" fontId="105" fillId="6" borderId="4" xfId="1" applyFont="1" applyFill="1" applyBorder="1"/>
    <xf numFmtId="165" fontId="105" fillId="6" borderId="4" xfId="1" applyNumberFormat="1" applyFont="1" applyFill="1" applyBorder="1"/>
    <xf numFmtId="9" fontId="105" fillId="6" borderId="4" xfId="1" applyFont="1" applyFill="1" applyBorder="1" applyAlignment="1">
      <alignment horizontal="center"/>
    </xf>
    <xf numFmtId="165" fontId="105" fillId="6" borderId="4" xfId="1" applyNumberFormat="1" applyFont="1" applyFill="1" applyBorder="1" applyAlignment="1">
      <alignment horizontal="center"/>
    </xf>
    <xf numFmtId="164" fontId="72" fillId="0" borderId="0" xfId="1" applyNumberFormat="1" applyFont="1" applyBorder="1"/>
    <xf numFmtId="165" fontId="72" fillId="0" borderId="4" xfId="1" applyNumberFormat="1" applyFont="1" applyFill="1" applyBorder="1"/>
    <xf numFmtId="0" fontId="105" fillId="3" borderId="4" xfId="0" applyFont="1" applyFill="1" applyBorder="1"/>
    <xf numFmtId="165" fontId="105" fillId="3" borderId="4" xfId="0" applyNumberFormat="1" applyFont="1" applyFill="1" applyBorder="1"/>
    <xf numFmtId="0" fontId="105" fillId="0" borderId="4" xfId="0" applyFont="1" applyBorder="1" applyAlignment="1">
      <alignment wrapText="1"/>
    </xf>
    <xf numFmtId="165" fontId="105" fillId="0" borderId="4" xfId="0" applyNumberFormat="1" applyFont="1" applyBorder="1" applyAlignment="1">
      <alignment wrapText="1"/>
    </xf>
    <xf numFmtId="165" fontId="72" fillId="6" borderId="4" xfId="1" applyNumberFormat="1" applyFont="1" applyFill="1" applyBorder="1"/>
    <xf numFmtId="0" fontId="99" fillId="6" borderId="4" xfId="1" applyNumberFormat="1" applyFont="1" applyFill="1" applyBorder="1" applyAlignment="1">
      <alignment horizontal="center"/>
    </xf>
    <xf numFmtId="0" fontId="99" fillId="6" borderId="0" xfId="1" applyNumberFormat="1" applyFont="1" applyFill="1" applyBorder="1"/>
    <xf numFmtId="9" fontId="5" fillId="0" borderId="0" xfId="1" applyFont="1" applyFill="1" applyBorder="1"/>
    <xf numFmtId="0" fontId="71" fillId="0" borderId="0" xfId="1" applyNumberFormat="1" applyFont="1" applyFill="1" applyBorder="1" applyAlignment="1">
      <alignment horizontal="center"/>
    </xf>
    <xf numFmtId="0" fontId="108" fillId="0" borderId="4" xfId="1" applyNumberFormat="1" applyFont="1" applyFill="1" applyBorder="1" applyAlignment="1">
      <alignment horizontal="center"/>
    </xf>
    <xf numFmtId="164" fontId="71" fillId="0" borderId="0" xfId="1" applyNumberFormat="1" applyFont="1" applyFill="1" applyBorder="1"/>
    <xf numFmtId="164" fontId="109" fillId="0" borderId="4" xfId="1" applyNumberFormat="1" applyFont="1" applyFill="1" applyBorder="1"/>
    <xf numFmtId="9" fontId="109" fillId="0" borderId="4" xfId="1" applyFont="1" applyFill="1" applyBorder="1" applyAlignment="1">
      <alignment horizontal="center"/>
    </xf>
    <xf numFmtId="9" fontId="99" fillId="0" borderId="4" xfId="1" applyFont="1" applyFill="1" applyBorder="1" applyAlignment="1">
      <alignment horizontal="center"/>
    </xf>
    <xf numFmtId="164" fontId="98" fillId="0" borderId="5" xfId="2" applyNumberFormat="1" applyFont="1" applyFill="1" applyBorder="1"/>
    <xf numFmtId="9" fontId="98" fillId="0" borderId="4" xfId="1" applyFont="1" applyFill="1" applyBorder="1" applyAlignment="1">
      <alignment horizontal="center"/>
    </xf>
    <xf numFmtId="9" fontId="99" fillId="0" borderId="0" xfId="1" applyFont="1" applyFill="1" applyBorder="1"/>
    <xf numFmtId="9" fontId="109" fillId="0" borderId="0" xfId="1" applyFont="1" applyFill="1" applyBorder="1"/>
    <xf numFmtId="165" fontId="109" fillId="0" borderId="4" xfId="1" applyNumberFormat="1" applyFont="1" applyFill="1" applyBorder="1" applyAlignment="1">
      <alignment horizontal="center"/>
    </xf>
    <xf numFmtId="9" fontId="109" fillId="0" borderId="4" xfId="1" applyFont="1" applyFill="1" applyBorder="1"/>
    <xf numFmtId="165" fontId="111" fillId="0" borderId="4" xfId="1" applyNumberFormat="1" applyFont="1" applyFill="1" applyBorder="1"/>
    <xf numFmtId="9" fontId="111" fillId="0" borderId="4" xfId="1" applyFont="1" applyFill="1" applyBorder="1"/>
    <xf numFmtId="165" fontId="112" fillId="0" borderId="4" xfId="1" applyNumberFormat="1" applyFont="1" applyFill="1" applyBorder="1"/>
    <xf numFmtId="9" fontId="112" fillId="0" borderId="5" xfId="1" applyFont="1" applyFill="1" applyBorder="1"/>
    <xf numFmtId="165" fontId="111" fillId="0" borderId="4" xfId="3" applyNumberFormat="1" applyFont="1" applyFill="1" applyBorder="1"/>
    <xf numFmtId="165" fontId="111" fillId="0" borderId="6" xfId="3" applyNumberFormat="1" applyFont="1" applyFill="1" applyBorder="1"/>
    <xf numFmtId="9" fontId="111" fillId="0" borderId="6" xfId="1" applyFont="1" applyFill="1" applyBorder="1"/>
    <xf numFmtId="165" fontId="111" fillId="0" borderId="6" xfId="1" applyNumberFormat="1" applyFont="1" applyFill="1" applyBorder="1"/>
    <xf numFmtId="0" fontId="111" fillId="0" borderId="0" xfId="1" applyNumberFormat="1" applyFont="1" applyFill="1" applyBorder="1"/>
    <xf numFmtId="0" fontId="4" fillId="0" borderId="28" xfId="0" applyFont="1" applyBorder="1"/>
    <xf numFmtId="0" fontId="103" fillId="0" borderId="30" xfId="0" applyFont="1" applyBorder="1"/>
    <xf numFmtId="9" fontId="105" fillId="0" borderId="4" xfId="1" applyFont="1" applyFill="1" applyBorder="1"/>
    <xf numFmtId="165" fontId="105" fillId="0" borderId="4" xfId="1" applyNumberFormat="1" applyFont="1" applyFill="1" applyBorder="1"/>
    <xf numFmtId="0" fontId="5" fillId="0" borderId="4" xfId="0" applyFont="1" applyBorder="1" applyAlignment="1">
      <alignment horizontal="center"/>
    </xf>
    <xf numFmtId="165" fontId="74" fillId="0" borderId="0" xfId="1" applyNumberFormat="1" applyFont="1" applyBorder="1"/>
    <xf numFmtId="0" fontId="5" fillId="6" borderId="13" xfId="0" applyFont="1" applyFill="1" applyBorder="1" applyAlignment="1">
      <alignment horizontal="center"/>
    </xf>
    <xf numFmtId="0" fontId="5" fillId="6" borderId="0" xfId="0" applyFont="1" applyFill="1" applyAlignment="1">
      <alignment horizontal="center"/>
    </xf>
    <xf numFmtId="0" fontId="109" fillId="6" borderId="4" xfId="0" applyFont="1" applyFill="1" applyBorder="1" applyAlignment="1">
      <alignment horizontal="center"/>
    </xf>
    <xf numFmtId="0" fontId="109" fillId="6" borderId="4" xfId="0" applyFont="1" applyFill="1" applyBorder="1"/>
    <xf numFmtId="0" fontId="99" fillId="6" borderId="0" xfId="0" applyFont="1" applyFill="1"/>
    <xf numFmtId="0" fontId="99" fillId="6" borderId="0" xfId="0" applyFont="1" applyFill="1" applyAlignment="1">
      <alignment horizontal="center"/>
    </xf>
    <xf numFmtId="164" fontId="99" fillId="6" borderId="0" xfId="2" applyNumberFormat="1" applyFont="1" applyFill="1" applyBorder="1"/>
    <xf numFmtId="0" fontId="109" fillId="6" borderId="0" xfId="0" applyFont="1" applyFill="1"/>
    <xf numFmtId="165" fontId="108" fillId="6" borderId="13" xfId="1" applyNumberFormat="1" applyFont="1" applyFill="1" applyBorder="1"/>
    <xf numFmtId="0" fontId="9" fillId="6" borderId="0" xfId="0" applyFont="1" applyFill="1" applyAlignment="1">
      <alignment horizontal="center"/>
    </xf>
    <xf numFmtId="165" fontId="112" fillId="6" borderId="6" xfId="1" applyNumberFormat="1" applyFont="1" applyFill="1" applyBorder="1"/>
    <xf numFmtId="165" fontId="108" fillId="6" borderId="10" xfId="1" applyNumberFormat="1" applyFont="1" applyFill="1" applyBorder="1"/>
    <xf numFmtId="165" fontId="108" fillId="6" borderId="0" xfId="1" applyNumberFormat="1" applyFont="1" applyFill="1" applyBorder="1"/>
    <xf numFmtId="165" fontId="110" fillId="6" borderId="13" xfId="1" applyNumberFormat="1" applyFont="1" applyFill="1" applyBorder="1"/>
    <xf numFmtId="0" fontId="9" fillId="6" borderId="0" xfId="0" applyFont="1" applyFill="1" applyAlignment="1">
      <alignment horizontal="left" wrapText="1"/>
    </xf>
    <xf numFmtId="165" fontId="105" fillId="6" borderId="13" xfId="0" applyNumberFormat="1" applyFont="1" applyFill="1" applyBorder="1"/>
    <xf numFmtId="9" fontId="105" fillId="6" borderId="13" xfId="1" applyFont="1" applyFill="1" applyBorder="1"/>
    <xf numFmtId="165" fontId="105" fillId="6" borderId="13" xfId="1" applyNumberFormat="1" applyFont="1" applyFill="1" applyBorder="1"/>
    <xf numFmtId="165" fontId="72" fillId="6" borderId="13" xfId="1" applyNumberFormat="1" applyFont="1" applyFill="1" applyBorder="1"/>
    <xf numFmtId="0" fontId="105" fillId="0" borderId="13" xfId="0" applyFont="1" applyBorder="1"/>
    <xf numFmtId="165" fontId="105" fillId="0" borderId="13" xfId="0" applyNumberFormat="1" applyFont="1" applyBorder="1"/>
    <xf numFmtId="9" fontId="105" fillId="0" borderId="13" xfId="1" applyFont="1" applyBorder="1" applyAlignment="1">
      <alignment horizontal="center"/>
    </xf>
    <xf numFmtId="0" fontId="5" fillId="0" borderId="13" xfId="0" applyFont="1" applyBorder="1" applyAlignment="1">
      <alignment horizontal="center"/>
    </xf>
    <xf numFmtId="0" fontId="99" fillId="0" borderId="0" xfId="0" applyFont="1"/>
    <xf numFmtId="0" fontId="99" fillId="0" borderId="0" xfId="0" applyFont="1" applyAlignment="1">
      <alignment horizontal="center"/>
    </xf>
    <xf numFmtId="164" fontId="99" fillId="0" borderId="0" xfId="2" applyNumberFormat="1" applyFont="1" applyFill="1" applyBorder="1"/>
    <xf numFmtId="165" fontId="112" fillId="0" borderId="6" xfId="1" applyNumberFormat="1" applyFont="1" applyFill="1" applyBorder="1"/>
    <xf numFmtId="165" fontId="108" fillId="0" borderId="10" xfId="1" applyNumberFormat="1" applyFont="1" applyFill="1" applyBorder="1"/>
    <xf numFmtId="165" fontId="108" fillId="0" borderId="0" xfId="1" applyNumberFormat="1" applyFont="1" applyFill="1" applyBorder="1"/>
    <xf numFmtId="165" fontId="110" fillId="0" borderId="13" xfId="1" applyNumberFormat="1" applyFont="1" applyFill="1" applyBorder="1"/>
    <xf numFmtId="165" fontId="108" fillId="0" borderId="13" xfId="1" applyNumberFormat="1" applyFont="1" applyFill="1" applyBorder="1"/>
    <xf numFmtId="0" fontId="9" fillId="0" borderId="0" xfId="0" applyFont="1" applyAlignment="1">
      <alignment horizontal="left" wrapText="1"/>
    </xf>
    <xf numFmtId="9" fontId="105" fillId="0" borderId="13" xfId="1" applyFont="1" applyFill="1" applyBorder="1"/>
    <xf numFmtId="165" fontId="105" fillId="0" borderId="13" xfId="1" applyNumberFormat="1" applyFont="1" applyFill="1" applyBorder="1"/>
    <xf numFmtId="165" fontId="72" fillId="0" borderId="13" xfId="1" applyNumberFormat="1" applyFont="1" applyFill="1" applyBorder="1"/>
    <xf numFmtId="9" fontId="105" fillId="0" borderId="13" xfId="1" applyFont="1" applyFill="1" applyBorder="1" applyAlignment="1">
      <alignment horizontal="center"/>
    </xf>
    <xf numFmtId="0" fontId="9" fillId="0" borderId="13" xfId="0" applyFont="1" applyBorder="1"/>
    <xf numFmtId="165" fontId="105" fillId="0" borderId="13" xfId="1" applyNumberFormat="1" applyFont="1" applyBorder="1" applyAlignment="1">
      <alignment horizontal="center"/>
    </xf>
    <xf numFmtId="165" fontId="110" fillId="0" borderId="13" xfId="0" applyNumberFormat="1" applyFont="1" applyBorder="1"/>
    <xf numFmtId="9" fontId="5" fillId="0" borderId="11" xfId="0" applyNumberFormat="1" applyFont="1" applyBorder="1"/>
    <xf numFmtId="0" fontId="74" fillId="0" borderId="24" xfId="0" applyFont="1" applyBorder="1"/>
    <xf numFmtId="9" fontId="5" fillId="0" borderId="11" xfId="1" applyFont="1" applyBorder="1"/>
    <xf numFmtId="2" fontId="71" fillId="2" borderId="23" xfId="1" applyNumberFormat="1" applyFont="1" applyFill="1" applyBorder="1" applyAlignment="1">
      <alignment horizontal="center"/>
    </xf>
    <xf numFmtId="2" fontId="97" fillId="2" borderId="7" xfId="1" applyNumberFormat="1" applyFont="1" applyFill="1" applyBorder="1" applyAlignment="1">
      <alignment horizontal="center"/>
    </xf>
    <xf numFmtId="165" fontId="74" fillId="0" borderId="23" xfId="1" applyNumberFormat="1" applyFont="1" applyBorder="1"/>
    <xf numFmtId="2" fontId="98" fillId="2" borderId="7" xfId="1" applyNumberFormat="1" applyFont="1" applyFill="1" applyBorder="1" applyAlignment="1">
      <alignment horizontal="center"/>
    </xf>
    <xf numFmtId="9" fontId="109" fillId="0" borderId="7" xfId="1" applyFont="1" applyBorder="1" applyAlignment="1">
      <alignment horizontal="center"/>
    </xf>
    <xf numFmtId="165" fontId="4" fillId="0" borderId="15" xfId="1" applyNumberFormat="1" applyFont="1" applyFill="1" applyBorder="1"/>
    <xf numFmtId="164" fontId="99" fillId="0" borderId="7" xfId="0" applyNumberFormat="1" applyFont="1" applyBorder="1"/>
    <xf numFmtId="9" fontId="99" fillId="0" borderId="7" xfId="1" applyFont="1" applyBorder="1" applyAlignment="1">
      <alignment horizontal="center"/>
    </xf>
    <xf numFmtId="164" fontId="98" fillId="0" borderId="24" xfId="2" applyNumberFormat="1" applyFont="1" applyBorder="1"/>
    <xf numFmtId="9" fontId="98" fillId="0" borderId="7" xfId="1" applyFont="1" applyBorder="1" applyAlignment="1">
      <alignment horizontal="center"/>
    </xf>
    <xf numFmtId="9" fontId="99" fillId="0" borderId="11" xfId="1" applyFont="1" applyBorder="1"/>
    <xf numFmtId="165" fontId="109" fillId="0" borderId="7" xfId="0" applyNumberFormat="1" applyFont="1" applyBorder="1"/>
    <xf numFmtId="9" fontId="109" fillId="0" borderId="23" xfId="1" applyFont="1" applyBorder="1"/>
    <xf numFmtId="165" fontId="109" fillId="0" borderId="7" xfId="1" applyNumberFormat="1" applyFont="1" applyBorder="1" applyAlignment="1">
      <alignment horizontal="center"/>
    </xf>
    <xf numFmtId="9" fontId="109" fillId="0" borderId="7" xfId="1" applyFont="1" applyBorder="1"/>
    <xf numFmtId="0" fontId="71" fillId="0" borderId="11" xfId="0" applyFont="1" applyBorder="1"/>
    <xf numFmtId="165" fontId="4" fillId="0" borderId="15" xfId="1" applyNumberFormat="1" applyFont="1" applyBorder="1"/>
    <xf numFmtId="165" fontId="100" fillId="0" borderId="15" xfId="1" applyNumberFormat="1" applyFont="1" applyBorder="1"/>
    <xf numFmtId="9" fontId="100" fillId="0" borderId="7" xfId="1" applyFont="1" applyBorder="1"/>
    <xf numFmtId="165" fontId="101" fillId="0" borderId="15" xfId="1" applyNumberFormat="1" applyFont="1" applyBorder="1"/>
    <xf numFmtId="9" fontId="101" fillId="0" borderId="24" xfId="1" applyFont="1" applyBorder="1"/>
    <xf numFmtId="165" fontId="100" fillId="0" borderId="7" xfId="3" applyNumberFormat="1" applyFont="1" applyBorder="1"/>
    <xf numFmtId="165" fontId="111" fillId="0" borderId="21" xfId="3" applyNumberFormat="1" applyFont="1" applyBorder="1"/>
    <xf numFmtId="9" fontId="111" fillId="0" borderId="21" xfId="1" applyFont="1" applyBorder="1"/>
    <xf numFmtId="165" fontId="111" fillId="0" borderId="21" xfId="1" applyNumberFormat="1" applyFont="1" applyBorder="1"/>
    <xf numFmtId="165" fontId="102" fillId="0" borderId="21" xfId="1" applyNumberFormat="1" applyFont="1" applyFill="1" applyBorder="1"/>
    <xf numFmtId="0" fontId="100" fillId="0" borderId="0" xfId="1" applyNumberFormat="1" applyFont="1" applyBorder="1"/>
    <xf numFmtId="0" fontId="4" fillId="5" borderId="26" xfId="0" applyFont="1" applyFill="1" applyBorder="1"/>
    <xf numFmtId="0" fontId="103" fillId="5" borderId="29" xfId="0" applyFont="1" applyFill="1" applyBorder="1"/>
    <xf numFmtId="165" fontId="97" fillId="0" borderId="21" xfId="1" applyNumberFormat="1" applyFont="1" applyFill="1" applyBorder="1"/>
    <xf numFmtId="165" fontId="104" fillId="0" borderId="21" xfId="1" applyNumberFormat="1" applyFont="1" applyFill="1" applyBorder="1"/>
    <xf numFmtId="9" fontId="110" fillId="0" borderId="21" xfId="1" applyFont="1" applyFill="1" applyBorder="1"/>
    <xf numFmtId="165" fontId="102" fillId="5" borderId="21" xfId="1" applyNumberFormat="1" applyFont="1" applyFill="1" applyBorder="1"/>
    <xf numFmtId="165" fontId="105" fillId="0" borderId="21" xfId="0" applyNumberFormat="1" applyFont="1" applyBorder="1"/>
    <xf numFmtId="9" fontId="105" fillId="0" borderId="21" xfId="1" applyFont="1" applyBorder="1"/>
    <xf numFmtId="165" fontId="105" fillId="0" borderId="21" xfId="1" applyNumberFormat="1" applyFont="1" applyBorder="1"/>
    <xf numFmtId="165" fontId="102" fillId="0" borderId="21" xfId="1" applyNumberFormat="1" applyFont="1" applyBorder="1"/>
    <xf numFmtId="9" fontId="105" fillId="0" borderId="21" xfId="1" applyFont="1" applyBorder="1" applyAlignment="1">
      <alignment horizontal="center"/>
    </xf>
    <xf numFmtId="0" fontId="9" fillId="0" borderId="21" xfId="0" applyFont="1" applyBorder="1"/>
    <xf numFmtId="165" fontId="105" fillId="0" borderId="21" xfId="1" applyNumberFormat="1" applyFont="1" applyBorder="1" applyAlignment="1">
      <alignment horizontal="center"/>
    </xf>
    <xf numFmtId="165" fontId="110" fillId="0" borderId="21" xfId="0" applyNumberFormat="1" applyFont="1" applyBorder="1"/>
    <xf numFmtId="2" fontId="4" fillId="0" borderId="0" xfId="0" applyNumberFormat="1" applyFont="1" applyAlignment="1">
      <alignment horizontal="right"/>
    </xf>
    <xf numFmtId="0" fontId="5" fillId="0" borderId="10" xfId="0" applyFont="1" applyBorder="1"/>
    <xf numFmtId="0" fontId="5" fillId="0" borderId="11" xfId="0" applyFont="1" applyBorder="1" applyAlignment="1">
      <alignment horizontal="center"/>
    </xf>
    <xf numFmtId="0" fontId="109" fillId="0" borderId="0" xfId="0" applyFont="1" applyAlignment="1">
      <alignment horizontal="center"/>
    </xf>
    <xf numFmtId="2" fontId="9" fillId="0" borderId="0" xfId="0" applyNumberFormat="1" applyFont="1"/>
    <xf numFmtId="164" fontId="98" fillId="0" borderId="0" xfId="2" applyNumberFormat="1" applyFont="1" applyBorder="1"/>
    <xf numFmtId="0" fontId="98" fillId="0" borderId="0" xfId="0" applyFont="1" applyAlignment="1">
      <alignment horizontal="center"/>
    </xf>
    <xf numFmtId="165" fontId="109" fillId="0" borderId="0" xfId="0" applyNumberFormat="1" applyFont="1" applyAlignment="1">
      <alignment horizontal="center"/>
    </xf>
    <xf numFmtId="9" fontId="71" fillId="0" borderId="0" xfId="1" applyFont="1" applyBorder="1"/>
    <xf numFmtId="2" fontId="72" fillId="0" borderId="0" xfId="0" applyNumberFormat="1" applyFont="1"/>
    <xf numFmtId="0" fontId="108" fillId="0" borderId="0" xfId="0" applyFont="1"/>
    <xf numFmtId="0" fontId="75" fillId="0" borderId="0" xfId="0" applyFont="1" applyAlignment="1">
      <alignment horizontal="center"/>
    </xf>
    <xf numFmtId="0" fontId="105" fillId="0" borderId="0" xfId="0" applyFont="1"/>
    <xf numFmtId="165" fontId="105" fillId="0" borderId="0" xfId="0" applyNumberFormat="1" applyFont="1"/>
    <xf numFmtId="2" fontId="72" fillId="0" borderId="0" xfId="0" applyNumberFormat="1" applyFont="1" applyAlignment="1">
      <alignment horizontal="right"/>
    </xf>
    <xf numFmtId="2" fontId="110" fillId="0" borderId="0" xfId="0" applyNumberFormat="1" applyFont="1" applyAlignment="1">
      <alignment horizontal="right"/>
    </xf>
    <xf numFmtId="9" fontId="110" fillId="0" borderId="0" xfId="1" applyFont="1" applyAlignment="1">
      <alignment horizontal="center"/>
    </xf>
    <xf numFmtId="2" fontId="73" fillId="0" borderId="0" xfId="0" applyNumberFormat="1" applyFont="1" applyAlignment="1">
      <alignment horizontal="right"/>
    </xf>
    <xf numFmtId="165" fontId="110" fillId="0" borderId="0" xfId="0" applyNumberFormat="1" applyFont="1" applyAlignment="1">
      <alignment horizontal="right"/>
    </xf>
    <xf numFmtId="164" fontId="99" fillId="0" borderId="0" xfId="2" applyNumberFormat="1" applyFont="1"/>
    <xf numFmtId="9" fontId="71" fillId="0" borderId="0" xfId="1" applyFont="1"/>
    <xf numFmtId="0" fontId="110" fillId="0" borderId="0" xfId="0" applyFont="1"/>
    <xf numFmtId="0" fontId="5" fillId="0" borderId="0" xfId="0" applyFont="1" applyAlignment="1">
      <alignment horizontal="right"/>
    </xf>
    <xf numFmtId="0" fontId="105" fillId="0" borderId="0" xfId="0" applyFont="1" applyAlignment="1">
      <alignment horizontal="right"/>
    </xf>
    <xf numFmtId="9" fontId="105" fillId="0" borderId="0" xfId="1" applyFont="1" applyAlignment="1">
      <alignment horizontal="center"/>
    </xf>
    <xf numFmtId="0" fontId="110" fillId="0" borderId="0" xfId="0" applyFont="1" applyAlignment="1">
      <alignment horizontal="right"/>
    </xf>
    <xf numFmtId="0" fontId="73" fillId="0" borderId="0" xfId="0" applyFont="1" applyAlignment="1">
      <alignment horizontal="right"/>
    </xf>
    <xf numFmtId="164" fontId="1" fillId="0" borderId="6" xfId="0" applyNumberFormat="1" applyFont="1" applyBorder="1"/>
    <xf numFmtId="165" fontId="25" fillId="0" borderId="14" xfId="0" applyNumberFormat="1" applyFont="1" applyBorder="1"/>
    <xf numFmtId="0" fontId="62" fillId="0" borderId="1" xfId="0" applyFont="1" applyBorder="1" applyAlignment="1">
      <alignment horizontal="center" vertical="center"/>
    </xf>
    <xf numFmtId="0" fontId="29" fillId="0" borderId="0" xfId="0" applyFont="1" applyAlignment="1">
      <alignment horizontal="center" wrapText="1"/>
    </xf>
    <xf numFmtId="0" fontId="29" fillId="0" borderId="0" xfId="0" applyFont="1"/>
    <xf numFmtId="165" fontId="28" fillId="0" borderId="0" xfId="1" applyNumberFormat="1" applyFont="1" applyFill="1" applyBorder="1" applyAlignment="1">
      <alignment horizontal="center"/>
    </xf>
    <xf numFmtId="2" fontId="16" fillId="0" borderId="0" xfId="0" applyNumberFormat="1" applyFont="1" applyAlignment="1">
      <alignment horizontal="right"/>
    </xf>
    <xf numFmtId="0" fontId="29" fillId="0" borderId="21" xfId="0" applyFont="1" applyBorder="1" applyAlignment="1">
      <alignment horizontal="center" wrapText="1"/>
    </xf>
    <xf numFmtId="0" fontId="29" fillId="0" borderId="22" xfId="0" applyFont="1" applyBorder="1"/>
    <xf numFmtId="0" fontId="29" fillId="0" borderId="4" xfId="0" applyFont="1" applyBorder="1"/>
    <xf numFmtId="0" fontId="29" fillId="0" borderId="13" xfId="0" applyFont="1" applyBorder="1"/>
    <xf numFmtId="165" fontId="28" fillId="0" borderId="13" xfId="1" applyNumberFormat="1" applyFont="1" applyFill="1" applyBorder="1" applyAlignment="1">
      <alignment horizontal="center"/>
    </xf>
    <xf numFmtId="0" fontId="5" fillId="8" borderId="0" xfId="0" applyFont="1" applyFill="1"/>
    <xf numFmtId="2" fontId="9" fillId="8" borderId="4" xfId="0" applyNumberFormat="1" applyFont="1" applyFill="1" applyBorder="1" applyAlignment="1">
      <alignment horizontal="right"/>
    </xf>
    <xf numFmtId="2" fontId="5" fillId="8" borderId="0" xfId="0" applyNumberFormat="1" applyFont="1" applyFill="1"/>
    <xf numFmtId="9" fontId="5" fillId="8" borderId="0" xfId="0" applyNumberFormat="1" applyFont="1" applyFill="1"/>
    <xf numFmtId="0" fontId="5" fillId="8" borderId="5" xfId="0" applyFont="1" applyFill="1" applyBorder="1"/>
    <xf numFmtId="9" fontId="5" fillId="8" borderId="0" xfId="1" applyFont="1" applyFill="1" applyBorder="1"/>
    <xf numFmtId="0" fontId="71" fillId="8" borderId="0" xfId="1" applyNumberFormat="1" applyFont="1" applyFill="1" applyBorder="1" applyAlignment="1">
      <alignment horizontal="center"/>
    </xf>
    <xf numFmtId="0" fontId="108" fillId="8" borderId="4" xfId="1" applyNumberFormat="1" applyFont="1" applyFill="1" applyBorder="1" applyAlignment="1">
      <alignment horizontal="center"/>
    </xf>
    <xf numFmtId="164" fontId="71" fillId="8" borderId="0" xfId="1" applyNumberFormat="1" applyFont="1" applyFill="1" applyBorder="1"/>
    <xf numFmtId="164" fontId="109" fillId="8" borderId="4" xfId="1" applyNumberFormat="1" applyFont="1" applyFill="1" applyBorder="1"/>
    <xf numFmtId="9" fontId="109" fillId="8" borderId="4" xfId="1" applyFont="1" applyFill="1" applyBorder="1" applyAlignment="1">
      <alignment horizontal="center"/>
    </xf>
    <xf numFmtId="164" fontId="72" fillId="8" borderId="6" xfId="1" applyNumberFormat="1" applyFont="1" applyFill="1" applyBorder="1"/>
    <xf numFmtId="164" fontId="99" fillId="8" borderId="4" xfId="0" applyNumberFormat="1" applyFont="1" applyFill="1" applyBorder="1"/>
    <xf numFmtId="9" fontId="99" fillId="8" borderId="4" xfId="1" applyFont="1" applyFill="1" applyBorder="1" applyAlignment="1">
      <alignment horizontal="center"/>
    </xf>
    <xf numFmtId="164" fontId="98" fillId="8" borderId="5" xfId="2" applyNumberFormat="1" applyFont="1" applyFill="1" applyBorder="1"/>
    <xf numFmtId="9" fontId="98" fillId="8" borderId="4" xfId="1" applyFont="1" applyFill="1" applyBorder="1" applyAlignment="1">
      <alignment horizontal="center"/>
    </xf>
    <xf numFmtId="9" fontId="99" fillId="8" borderId="0" xfId="1" applyFont="1" applyFill="1" applyBorder="1"/>
    <xf numFmtId="165" fontId="109" fillId="8" borderId="4" xfId="0" applyNumberFormat="1" applyFont="1" applyFill="1" applyBorder="1"/>
    <xf numFmtId="9" fontId="109" fillId="8" borderId="0" xfId="1" applyFont="1" applyFill="1" applyBorder="1"/>
    <xf numFmtId="165" fontId="109" fillId="8" borderId="4" xfId="1" applyNumberFormat="1" applyFont="1" applyFill="1" applyBorder="1" applyAlignment="1">
      <alignment horizontal="center"/>
    </xf>
    <xf numFmtId="9" fontId="109" fillId="8" borderId="4" xfId="1" applyFont="1" applyFill="1" applyBorder="1"/>
    <xf numFmtId="0" fontId="71" fillId="8" borderId="0" xfId="0" applyFont="1" applyFill="1" applyAlignment="1">
      <alignment horizontal="right"/>
    </xf>
    <xf numFmtId="164" fontId="9" fillId="8" borderId="6" xfId="1" applyNumberFormat="1" applyFont="1" applyFill="1" applyBorder="1"/>
    <xf numFmtId="165" fontId="111" fillId="8" borderId="4" xfId="1" applyNumberFormat="1" applyFont="1" applyFill="1" applyBorder="1"/>
    <xf numFmtId="9" fontId="111" fillId="8" borderId="4" xfId="1" applyFont="1" applyFill="1" applyBorder="1"/>
    <xf numFmtId="165" fontId="112" fillId="8" borderId="4" xfId="1" applyNumberFormat="1" applyFont="1" applyFill="1" applyBorder="1"/>
    <xf numFmtId="9" fontId="112" fillId="8" borderId="5" xfId="1" applyFont="1" applyFill="1" applyBorder="1"/>
    <xf numFmtId="165" fontId="111" fillId="8" borderId="4" xfId="3" applyNumberFormat="1" applyFont="1" applyFill="1" applyBorder="1"/>
    <xf numFmtId="165" fontId="111" fillId="8" borderId="6" xfId="3" applyNumberFormat="1" applyFont="1" applyFill="1" applyBorder="1"/>
    <xf numFmtId="9" fontId="111" fillId="8" borderId="6" xfId="1" applyFont="1" applyFill="1" applyBorder="1"/>
    <xf numFmtId="165" fontId="111" fillId="8" borderId="6" xfId="1" applyNumberFormat="1" applyFont="1" applyFill="1" applyBorder="1"/>
    <xf numFmtId="165" fontId="72" fillId="8" borderId="6" xfId="1" applyNumberFormat="1" applyFont="1" applyFill="1" applyBorder="1"/>
    <xf numFmtId="0" fontId="111" fillId="8" borderId="0" xfId="1" applyNumberFormat="1" applyFont="1" applyFill="1" applyBorder="1"/>
    <xf numFmtId="0" fontId="4" fillId="8" borderId="28" xfId="0" applyFont="1" applyFill="1" applyBorder="1"/>
    <xf numFmtId="0" fontId="103" fillId="8" borderId="30" xfId="0" applyFont="1" applyFill="1" applyBorder="1"/>
    <xf numFmtId="165" fontId="108" fillId="8" borderId="4" xfId="1" applyNumberFormat="1" applyFont="1" applyFill="1" applyBorder="1"/>
    <xf numFmtId="165" fontId="108" fillId="8" borderId="5" xfId="1" applyNumberFormat="1" applyFont="1" applyFill="1" applyBorder="1"/>
    <xf numFmtId="165" fontId="110" fillId="8" borderId="0" xfId="1" applyNumberFormat="1" applyFont="1" applyFill="1" applyBorder="1"/>
    <xf numFmtId="165" fontId="110" fillId="8" borderId="5" xfId="1" applyNumberFormat="1" applyFont="1" applyFill="1" applyBorder="1"/>
    <xf numFmtId="165" fontId="110" fillId="8" borderId="4" xfId="1" applyNumberFormat="1" applyFont="1" applyFill="1" applyBorder="1"/>
    <xf numFmtId="9" fontId="110" fillId="8" borderId="4" xfId="1" applyFont="1" applyFill="1" applyBorder="1"/>
    <xf numFmtId="0" fontId="9" fillId="8" borderId="0" xfId="0" applyFont="1" applyFill="1" applyAlignment="1">
      <alignment horizontal="left"/>
    </xf>
    <xf numFmtId="165" fontId="105" fillId="8" borderId="4" xfId="0" applyNumberFormat="1" applyFont="1" applyFill="1" applyBorder="1"/>
    <xf numFmtId="9" fontId="105" fillId="8" borderId="4" xfId="1" applyFont="1" applyFill="1" applyBorder="1"/>
    <xf numFmtId="165" fontId="105" fillId="8" borderId="4" xfId="1" applyNumberFormat="1" applyFont="1" applyFill="1" applyBorder="1"/>
    <xf numFmtId="165" fontId="72" fillId="8" borderId="4" xfId="1" applyNumberFormat="1" applyFont="1" applyFill="1" applyBorder="1"/>
    <xf numFmtId="0" fontId="105" fillId="8" borderId="4" xfId="0" applyFont="1" applyFill="1" applyBorder="1"/>
    <xf numFmtId="9" fontId="105" fillId="8" borderId="4" xfId="1" applyFont="1" applyFill="1" applyBorder="1" applyAlignment="1">
      <alignment horizontal="center"/>
    </xf>
    <xf numFmtId="0" fontId="9" fillId="8" borderId="4" xfId="0" applyFont="1" applyFill="1" applyBorder="1"/>
    <xf numFmtId="165" fontId="105" fillId="8" borderId="4" xfId="1" applyNumberFormat="1" applyFont="1" applyFill="1" applyBorder="1" applyAlignment="1">
      <alignment horizontal="center"/>
    </xf>
    <xf numFmtId="165" fontId="110" fillId="8" borderId="4" xfId="0" applyNumberFormat="1" applyFont="1" applyFill="1" applyBorder="1"/>
    <xf numFmtId="0" fontId="73" fillId="8" borderId="0" xfId="0" applyFont="1" applyFill="1"/>
    <xf numFmtId="0" fontId="100" fillId="0" borderId="4" xfId="0" applyFont="1" applyBorder="1" applyAlignment="1">
      <alignment horizontal="center" wrapText="1"/>
    </xf>
    <xf numFmtId="0" fontId="101" fillId="3" borderId="4" xfId="0" applyFont="1" applyFill="1" applyBorder="1" applyAlignment="1">
      <alignment horizontal="center" wrapText="1"/>
    </xf>
    <xf numFmtId="0" fontId="101" fillId="3" borderId="5" xfId="0" applyFont="1" applyFill="1" applyBorder="1" applyAlignment="1">
      <alignment horizontal="center" wrapText="1"/>
    </xf>
    <xf numFmtId="0" fontId="100" fillId="3" borderId="22" xfId="0" applyFont="1" applyFill="1" applyBorder="1" applyAlignment="1">
      <alignment horizontal="center" wrapText="1"/>
    </xf>
    <xf numFmtId="0" fontId="100" fillId="3" borderId="3" xfId="0" applyFont="1" applyFill="1" applyBorder="1" applyAlignment="1">
      <alignment horizontal="center" wrapText="1"/>
    </xf>
    <xf numFmtId="165" fontId="100" fillId="0" borderId="3" xfId="0" applyNumberFormat="1" applyFont="1" applyBorder="1" applyAlignment="1">
      <alignment horizontal="center" wrapText="1"/>
    </xf>
    <xf numFmtId="9" fontId="100" fillId="0" borderId="3" xfId="1" applyFont="1" applyFill="1" applyBorder="1" applyAlignment="1">
      <alignment horizontal="center" wrapText="1"/>
    </xf>
    <xf numFmtId="0" fontId="102" fillId="0" borderId="3" xfId="0" applyFont="1" applyBorder="1" applyAlignment="1">
      <alignment horizontal="center" wrapText="1"/>
    </xf>
    <xf numFmtId="0" fontId="102" fillId="0" borderId="28" xfId="0" applyFont="1" applyBorder="1" applyAlignment="1">
      <alignment horizontal="center" wrapText="1"/>
    </xf>
    <xf numFmtId="0" fontId="103" fillId="0" borderId="30" xfId="0" applyFont="1" applyBorder="1" applyAlignment="1">
      <alignment wrapText="1"/>
    </xf>
    <xf numFmtId="0" fontId="97" fillId="0" borderId="22" xfId="0" applyFont="1" applyBorder="1" applyAlignment="1">
      <alignment horizontal="center" wrapText="1"/>
    </xf>
    <xf numFmtId="0" fontId="97" fillId="0" borderId="1" xfId="0" applyFont="1" applyBorder="1" applyAlignment="1">
      <alignment horizontal="center" wrapText="1"/>
    </xf>
    <xf numFmtId="0" fontId="104" fillId="0" borderId="2" xfId="0" applyFont="1" applyBorder="1" applyAlignment="1">
      <alignment horizontal="center" wrapText="1"/>
    </xf>
    <xf numFmtId="0" fontId="104" fillId="0" borderId="1" xfId="0" applyFont="1" applyBorder="1" applyAlignment="1">
      <alignment horizontal="center" wrapText="1"/>
    </xf>
    <xf numFmtId="0" fontId="104" fillId="0" borderId="22" xfId="0" applyFont="1" applyBorder="1" applyAlignment="1">
      <alignment horizontal="center" wrapText="1"/>
    </xf>
    <xf numFmtId="0" fontId="97" fillId="3" borderId="22" xfId="0" applyFont="1" applyFill="1" applyBorder="1" applyAlignment="1">
      <alignment horizontal="center" wrapText="1"/>
    </xf>
    <xf numFmtId="0" fontId="105" fillId="0" borderId="22" xfId="0" applyFont="1" applyBorder="1" applyAlignment="1">
      <alignment horizontal="center" wrapText="1"/>
    </xf>
    <xf numFmtId="165" fontId="105" fillId="3" borderId="22" xfId="0" applyNumberFormat="1" applyFont="1" applyFill="1" applyBorder="1" applyAlignment="1">
      <alignment horizontal="center" wrapText="1"/>
    </xf>
    <xf numFmtId="0" fontId="105" fillId="3" borderId="22" xfId="0" applyFont="1" applyFill="1" applyBorder="1" applyAlignment="1">
      <alignment horizontal="center" wrapText="1"/>
    </xf>
    <xf numFmtId="0" fontId="106" fillId="3" borderId="22" xfId="0" applyFont="1" applyFill="1" applyBorder="1" applyAlignment="1">
      <alignment horizontal="center" wrapText="1"/>
    </xf>
    <xf numFmtId="0" fontId="72" fillId="0" borderId="22" xfId="0" applyFont="1" applyBorder="1" applyAlignment="1">
      <alignment horizontal="center" wrapText="1"/>
    </xf>
    <xf numFmtId="0" fontId="105" fillId="0" borderId="22" xfId="0" applyFont="1" applyBorder="1" applyAlignment="1">
      <alignment wrapText="1"/>
    </xf>
    <xf numFmtId="0" fontId="105" fillId="3" borderId="22" xfId="0" applyFont="1" applyFill="1" applyBorder="1" applyAlignment="1">
      <alignment horizontal="center"/>
    </xf>
    <xf numFmtId="9" fontId="105" fillId="0" borderId="22" xfId="1" applyFont="1" applyBorder="1" applyAlignment="1">
      <alignment horizontal="center" wrapText="1"/>
    </xf>
    <xf numFmtId="0" fontId="104" fillId="0" borderId="22" xfId="0" applyFont="1" applyBorder="1" applyAlignment="1">
      <alignment wrapText="1"/>
    </xf>
    <xf numFmtId="0" fontId="7" fillId="5" borderId="5" xfId="0" applyFont="1" applyFill="1" applyBorder="1"/>
    <xf numFmtId="0" fontId="7" fillId="5" borderId="0" xfId="0" applyFont="1" applyFill="1"/>
    <xf numFmtId="2" fontId="33" fillId="5" borderId="6" xfId="0" applyNumberFormat="1" applyFont="1" applyFill="1" applyBorder="1" applyAlignment="1">
      <alignment horizontal="right"/>
    </xf>
    <xf numFmtId="0" fontId="74" fillId="0" borderId="5" xfId="0" applyFont="1" applyBorder="1" applyAlignment="1">
      <alignment horizontal="left" vertical="center"/>
    </xf>
    <xf numFmtId="0" fontId="0" fillId="0" borderId="3" xfId="0" applyBorder="1"/>
    <xf numFmtId="165" fontId="9" fillId="0" borderId="0" xfId="0" applyNumberFormat="1" applyFont="1" applyAlignment="1">
      <alignment horizontal="center"/>
    </xf>
    <xf numFmtId="165" fontId="13" fillId="0" borderId="0" xfId="0" applyNumberFormat="1" applyFont="1" applyAlignment="1">
      <alignment horizontal="center"/>
    </xf>
    <xf numFmtId="165" fontId="73" fillId="0" borderId="0" xfId="0" applyNumberFormat="1" applyFont="1" applyAlignment="1">
      <alignment horizontal="center"/>
    </xf>
    <xf numFmtId="165" fontId="5" fillId="0" borderId="0" xfId="0" applyNumberFormat="1" applyFont="1" applyAlignment="1">
      <alignment horizontal="center"/>
    </xf>
    <xf numFmtId="165" fontId="72" fillId="0" borderId="0" xfId="0" applyNumberFormat="1" applyFont="1" applyAlignment="1">
      <alignment horizontal="center"/>
    </xf>
    <xf numFmtId="0" fontId="5" fillId="0" borderId="0" xfId="0" applyFont="1" applyAlignment="1">
      <alignment horizontal="left"/>
    </xf>
    <xf numFmtId="2" fontId="23" fillId="14" borderId="0" xfId="0" applyNumberFormat="1" applyFont="1" applyFill="1"/>
    <xf numFmtId="4" fontId="23" fillId="14" borderId="0" xfId="0" applyNumberFormat="1" applyFont="1" applyFill="1"/>
    <xf numFmtId="2" fontId="0" fillId="14" borderId="0" xfId="0" applyNumberFormat="1" applyFill="1"/>
    <xf numFmtId="2" fontId="25" fillId="14" borderId="0" xfId="0" applyNumberFormat="1" applyFont="1" applyFill="1"/>
    <xf numFmtId="164" fontId="25" fillId="14" borderId="0" xfId="0" applyNumberFormat="1" applyFont="1" applyFill="1"/>
    <xf numFmtId="0" fontId="29" fillId="0" borderId="3" xfId="0" applyFont="1" applyBorder="1" applyAlignment="1">
      <alignment horizontal="center" wrapText="1"/>
    </xf>
    <xf numFmtId="164" fontId="3" fillId="0" borderId="3" xfId="0" applyNumberFormat="1" applyFont="1" applyBorder="1"/>
    <xf numFmtId="164" fontId="3" fillId="0" borderId="6" xfId="1" applyNumberFormat="1" applyFont="1" applyFill="1" applyBorder="1"/>
    <xf numFmtId="164" fontId="3" fillId="0" borderId="6" xfId="0" applyNumberFormat="1" applyFont="1" applyBorder="1"/>
    <xf numFmtId="164" fontId="8" fillId="0" borderId="6" xfId="1" applyNumberFormat="1" applyFont="1" applyFill="1" applyBorder="1"/>
    <xf numFmtId="164" fontId="12" fillId="0" borderId="6" xfId="1" applyNumberFormat="1" applyFont="1" applyFill="1" applyBorder="1"/>
    <xf numFmtId="165" fontId="7" fillId="0" borderId="15" xfId="1" applyNumberFormat="1" applyFont="1" applyFill="1" applyBorder="1"/>
    <xf numFmtId="165" fontId="45" fillId="0" borderId="21" xfId="0" applyNumberFormat="1" applyFont="1" applyBorder="1" applyAlignment="1">
      <alignment horizontal="center" wrapText="1"/>
    </xf>
    <xf numFmtId="165" fontId="16" fillId="0" borderId="0" xfId="0" applyNumberFormat="1" applyFont="1"/>
    <xf numFmtId="0" fontId="114" fillId="0" borderId="0" xfId="0" applyFont="1"/>
    <xf numFmtId="2" fontId="48" fillId="0" borderId="0" xfId="0" applyNumberFormat="1" applyFont="1" applyAlignment="1">
      <alignment horizontal="right"/>
    </xf>
    <xf numFmtId="0" fontId="48" fillId="0" borderId="0" xfId="0" applyFont="1" applyAlignment="1">
      <alignment horizontal="right"/>
    </xf>
    <xf numFmtId="9" fontId="0" fillId="0" borderId="0" xfId="1" applyFont="1" applyFill="1" applyBorder="1"/>
    <xf numFmtId="0" fontId="8" fillId="0" borderId="0" xfId="1" applyNumberFormat="1" applyFont="1" applyFill="1" applyBorder="1" applyAlignment="1">
      <alignment horizontal="center"/>
    </xf>
    <xf numFmtId="0" fontId="42" fillId="0" borderId="4" xfId="1" applyNumberFormat="1" applyFont="1" applyFill="1" applyBorder="1" applyAlignment="1">
      <alignment horizontal="center"/>
    </xf>
    <xf numFmtId="164" fontId="10" fillId="0" borderId="0" xfId="1" applyNumberFormat="1" applyFont="1" applyFill="1" applyBorder="1"/>
    <xf numFmtId="164" fontId="31" fillId="0" borderId="4" xfId="1" applyNumberFormat="1" applyFont="1" applyFill="1" applyBorder="1"/>
    <xf numFmtId="9" fontId="31" fillId="0" borderId="4" xfId="1" applyFont="1" applyFill="1" applyBorder="1" applyAlignment="1">
      <alignment horizontal="center"/>
    </xf>
    <xf numFmtId="9" fontId="32" fillId="0" borderId="4" xfId="1" applyFont="1" applyFill="1" applyBorder="1" applyAlignment="1">
      <alignment horizontal="center"/>
    </xf>
    <xf numFmtId="164" fontId="38" fillId="0" borderId="5" xfId="2" applyNumberFormat="1" applyFont="1" applyFill="1" applyBorder="1"/>
    <xf numFmtId="9" fontId="38" fillId="0" borderId="4" xfId="1" applyFont="1" applyFill="1" applyBorder="1" applyAlignment="1">
      <alignment horizontal="center"/>
    </xf>
    <xf numFmtId="9" fontId="32" fillId="0" borderId="0" xfId="1" applyFont="1" applyFill="1" applyBorder="1"/>
    <xf numFmtId="9" fontId="39" fillId="0" borderId="0" xfId="1" applyFont="1" applyFill="1" applyBorder="1"/>
    <xf numFmtId="165" fontId="39" fillId="0" borderId="4" xfId="1" applyNumberFormat="1" applyFont="1" applyFill="1" applyBorder="1" applyAlignment="1">
      <alignment horizontal="center"/>
    </xf>
    <xf numFmtId="9" fontId="39" fillId="0" borderId="4" xfId="1" applyFont="1" applyFill="1" applyBorder="1"/>
    <xf numFmtId="165" fontId="46" fillId="0" borderId="4" xfId="1" applyNumberFormat="1" applyFont="1" applyFill="1" applyBorder="1"/>
    <xf numFmtId="165" fontId="48" fillId="0" borderId="4" xfId="1" applyNumberFormat="1" applyFont="1" applyFill="1" applyBorder="1"/>
    <xf numFmtId="165" fontId="52" fillId="0" borderId="4" xfId="1" applyNumberFormat="1" applyFont="1" applyFill="1" applyBorder="1"/>
    <xf numFmtId="0" fontId="63" fillId="0" borderId="21" xfId="0" applyFont="1" applyBorder="1" applyAlignment="1">
      <alignment horizontal="center" wrapText="1"/>
    </xf>
    <xf numFmtId="165" fontId="12" fillId="0" borderId="3" xfId="1" applyNumberFormat="1" applyFont="1" applyFill="1" applyBorder="1"/>
    <xf numFmtId="0" fontId="113" fillId="0" borderId="21" xfId="0" applyFont="1" applyBorder="1" applyAlignment="1">
      <alignment horizontal="center" wrapText="1"/>
    </xf>
    <xf numFmtId="0" fontId="113" fillId="0" borderId="22" xfId="0" applyFont="1" applyBorder="1"/>
    <xf numFmtId="0" fontId="113" fillId="0" borderId="4" xfId="0" applyFont="1" applyBorder="1"/>
    <xf numFmtId="0" fontId="113" fillId="0" borderId="13" xfId="0" applyFont="1" applyBorder="1"/>
    <xf numFmtId="165" fontId="49" fillId="0" borderId="13" xfId="1" applyNumberFormat="1" applyFont="1" applyFill="1" applyBorder="1" applyAlignment="1">
      <alignment horizontal="center"/>
    </xf>
    <xf numFmtId="0" fontId="29" fillId="8" borderId="4" xfId="0" applyFont="1" applyFill="1" applyBorder="1"/>
    <xf numFmtId="0" fontId="113" fillId="8" borderId="4" xfId="0" applyFont="1" applyFill="1" applyBorder="1"/>
    <xf numFmtId="164" fontId="24" fillId="0" borderId="6" xfId="0" applyNumberFormat="1" applyFont="1" applyBorder="1" applyAlignment="1">
      <alignment horizontal="right"/>
    </xf>
    <xf numFmtId="165" fontId="23" fillId="14" borderId="0" xfId="0" applyNumberFormat="1" applyFont="1" applyFill="1"/>
    <xf numFmtId="164" fontId="24" fillId="3" borderId="6" xfId="0" applyNumberFormat="1" applyFont="1" applyFill="1" applyBorder="1" applyAlignment="1">
      <alignment horizontal="right"/>
    </xf>
    <xf numFmtId="165" fontId="23" fillId="3" borderId="0" xfId="0" applyNumberFormat="1" applyFont="1" applyFill="1" applyAlignment="1">
      <alignment horizontal="right"/>
    </xf>
    <xf numFmtId="165" fontId="25" fillId="3" borderId="0" xfId="0" applyNumberFormat="1" applyFont="1" applyFill="1"/>
    <xf numFmtId="0" fontId="0" fillId="0" borderId="0" xfId="0" applyAlignment="1">
      <alignment horizontal="center" wrapText="1"/>
    </xf>
    <xf numFmtId="2" fontId="10" fillId="0" borderId="0" xfId="0" applyNumberFormat="1" applyFont="1"/>
    <xf numFmtId="2" fontId="2" fillId="0" borderId="8" xfId="0" applyNumberFormat="1" applyFont="1" applyBorder="1"/>
    <xf numFmtId="0" fontId="2" fillId="0" borderId="0" xfId="0" applyFont="1" applyAlignment="1">
      <alignment horizontal="center"/>
    </xf>
    <xf numFmtId="14" fontId="44" fillId="0" borderId="0" xfId="0" applyNumberFormat="1" applyFont="1" applyAlignment="1">
      <alignment horizontal="center"/>
    </xf>
    <xf numFmtId="0" fontId="115" fillId="0" borderId="0" xfId="0" applyFont="1" applyAlignment="1">
      <alignment horizontal="center"/>
    </xf>
    <xf numFmtId="2" fontId="115" fillId="0" borderId="0" xfId="0" applyNumberFormat="1" applyFont="1"/>
    <xf numFmtId="2" fontId="116" fillId="0" borderId="8" xfId="0" applyNumberFormat="1" applyFont="1" applyBorder="1"/>
    <xf numFmtId="0" fontId="22" fillId="0" borderId="0" xfId="0" applyFont="1" applyAlignment="1">
      <alignment horizontal="right" wrapText="1"/>
    </xf>
    <xf numFmtId="165" fontId="23" fillId="3" borderId="0" xfId="0" applyNumberFormat="1" applyFont="1" applyFill="1"/>
    <xf numFmtId="165" fontId="15" fillId="3" borderId="0" xfId="0" applyNumberFormat="1" applyFont="1" applyFill="1"/>
    <xf numFmtId="0" fontId="117" fillId="0" borderId="21" xfId="0" applyFont="1" applyBorder="1" applyAlignment="1">
      <alignment horizontal="center" wrapText="1"/>
    </xf>
    <xf numFmtId="0" fontId="104" fillId="0" borderId="13" xfId="0" applyFont="1" applyBorder="1" applyAlignment="1">
      <alignment wrapText="1"/>
    </xf>
    <xf numFmtId="165" fontId="52" fillId="0" borderId="0" xfId="0" applyNumberFormat="1" applyFont="1" applyAlignment="1">
      <alignment horizontal="right"/>
    </xf>
    <xf numFmtId="165" fontId="117" fillId="0" borderId="22" xfId="0" applyNumberFormat="1" applyFont="1" applyBorder="1" applyAlignment="1">
      <alignment horizontal="right" wrapText="1"/>
    </xf>
    <xf numFmtId="165" fontId="105" fillId="0" borderId="0" xfId="0" applyNumberFormat="1" applyFont="1" applyAlignment="1">
      <alignment horizontal="right"/>
    </xf>
    <xf numFmtId="4" fontId="25" fillId="0" borderId="0" xfId="0" applyNumberFormat="1" applyFont="1" applyAlignment="1">
      <alignment horizontal="right"/>
    </xf>
    <xf numFmtId="164" fontId="20" fillId="14" borderId="9" xfId="0" applyNumberFormat="1" applyFont="1" applyFill="1" applyBorder="1"/>
    <xf numFmtId="4" fontId="25" fillId="14" borderId="0" xfId="0" applyNumberFormat="1" applyFont="1" applyFill="1"/>
    <xf numFmtId="0" fontId="11" fillId="0" borderId="0" xfId="0" applyFont="1"/>
    <xf numFmtId="0" fontId="72" fillId="0" borderId="0" xfId="0" applyFont="1" applyAlignment="1">
      <alignment horizontal="right"/>
    </xf>
    <xf numFmtId="0" fontId="72" fillId="0" borderId="0" xfId="0" applyFont="1" applyAlignment="1">
      <alignment wrapText="1"/>
    </xf>
    <xf numFmtId="0" fontId="102" fillId="0" borderId="22" xfId="0" applyFont="1" applyBorder="1" applyAlignment="1">
      <alignment wrapText="1"/>
    </xf>
    <xf numFmtId="2" fontId="110" fillId="0" borderId="4" xfId="0" applyNumberFormat="1" applyFont="1" applyBorder="1"/>
    <xf numFmtId="2" fontId="110" fillId="0" borderId="4" xfId="0" applyNumberFormat="1" applyFont="1" applyBorder="1" applyAlignment="1">
      <alignment wrapText="1"/>
    </xf>
    <xf numFmtId="2" fontId="110" fillId="8" borderId="4" xfId="0" applyNumberFormat="1" applyFont="1" applyFill="1" applyBorder="1"/>
    <xf numFmtId="14" fontId="5" fillId="0" borderId="0" xfId="0" applyNumberFormat="1" applyFont="1" applyAlignment="1">
      <alignment wrapText="1"/>
    </xf>
    <xf numFmtId="165" fontId="9" fillId="0" borderId="0" xfId="0" applyNumberFormat="1" applyFont="1"/>
    <xf numFmtId="0" fontId="73" fillId="0" borderId="0" xfId="0" applyFont="1" applyAlignment="1">
      <alignment horizontal="left"/>
    </xf>
    <xf numFmtId="0" fontId="107" fillId="0" borderId="22" xfId="0" applyFont="1" applyBorder="1" applyAlignment="1">
      <alignment horizontal="left" wrapText="1"/>
    </xf>
    <xf numFmtId="0" fontId="107" fillId="0" borderId="13" xfId="0" applyFont="1" applyBorder="1" applyAlignment="1">
      <alignment horizontal="left" wrapText="1"/>
    </xf>
    <xf numFmtId="10" fontId="5" fillId="0" borderId="0" xfId="0" applyNumberFormat="1" applyFont="1"/>
    <xf numFmtId="165" fontId="3" fillId="3" borderId="0" xfId="0" applyNumberFormat="1" applyFont="1" applyFill="1"/>
    <xf numFmtId="2" fontId="25" fillId="0" borderId="14" xfId="0" applyNumberFormat="1" applyFont="1" applyBorder="1"/>
    <xf numFmtId="0" fontId="118" fillId="0" borderId="0" xfId="0" applyFont="1" applyAlignment="1">
      <alignment horizontal="center" vertical="center"/>
    </xf>
    <xf numFmtId="0" fontId="119" fillId="0" borderId="26" xfId="0" applyFont="1" applyBorder="1" applyAlignment="1">
      <alignment horizontal="center"/>
    </xf>
    <xf numFmtId="0" fontId="119" fillId="0" borderId="0" xfId="0" applyFont="1"/>
    <xf numFmtId="17" fontId="119" fillId="0" borderId="0" xfId="0" applyNumberFormat="1" applyFont="1"/>
    <xf numFmtId="14" fontId="120" fillId="0" borderId="26" xfId="0" applyNumberFormat="1" applyFont="1" applyBorder="1" applyAlignment="1">
      <alignment horizontal="right"/>
    </xf>
    <xf numFmtId="0" fontId="120" fillId="0" borderId="26" xfId="0" applyFont="1" applyBorder="1" applyAlignment="1">
      <alignment horizontal="center"/>
    </xf>
    <xf numFmtId="0" fontId="120" fillId="0" borderId="26" xfId="0" applyFont="1" applyBorder="1"/>
    <xf numFmtId="164" fontId="119" fillId="0" borderId="26" xfId="0" applyNumberFormat="1" applyFont="1" applyBorder="1"/>
    <xf numFmtId="164" fontId="120" fillId="0" borderId="26" xfId="0" applyNumberFormat="1" applyFont="1" applyBorder="1" applyAlignment="1">
      <alignment horizontal="right"/>
    </xf>
    <xf numFmtId="0" fontId="121" fillId="0" borderId="0" xfId="0" applyFont="1" applyAlignment="1">
      <alignment horizontal="center"/>
    </xf>
    <xf numFmtId="14" fontId="23" fillId="0" borderId="0" xfId="0" applyNumberFormat="1" applyFont="1" applyAlignment="1">
      <alignment horizontal="center"/>
    </xf>
    <xf numFmtId="164" fontId="19" fillId="3" borderId="6" xfId="0" applyNumberFormat="1" applyFont="1" applyFill="1" applyBorder="1"/>
    <xf numFmtId="14" fontId="122" fillId="0" borderId="0" xfId="0" applyNumberFormat="1" applyFont="1"/>
    <xf numFmtId="0" fontId="122" fillId="0" borderId="0" xfId="0" applyFont="1"/>
    <xf numFmtId="165" fontId="122" fillId="3" borderId="0" xfId="0" applyNumberFormat="1" applyFont="1" applyFill="1"/>
    <xf numFmtId="2" fontId="123" fillId="0" borderId="8" xfId="0" applyNumberFormat="1" applyFont="1" applyBorder="1"/>
    <xf numFmtId="14" fontId="1" fillId="0" borderId="0" xfId="0" applyNumberFormat="1" applyFont="1" applyAlignment="1">
      <alignment horizontal="center"/>
    </xf>
    <xf numFmtId="8" fontId="23" fillId="0" borderId="0" xfId="0" applyNumberFormat="1" applyFont="1"/>
    <xf numFmtId="165" fontId="73" fillId="0" borderId="0" xfId="0" applyNumberFormat="1" applyFont="1" applyAlignment="1">
      <alignment horizontal="left"/>
    </xf>
    <xf numFmtId="10" fontId="73" fillId="0" borderId="0" xfId="0" applyNumberFormat="1" applyFont="1" applyAlignment="1">
      <alignment horizontal="left"/>
    </xf>
    <xf numFmtId="0" fontId="73" fillId="0" borderId="0" xfId="0" applyFont="1" applyAlignment="1">
      <alignment horizontal="left" wrapText="1"/>
    </xf>
    <xf numFmtId="0" fontId="73" fillId="8" borderId="0" xfId="0" applyFont="1" applyFill="1" applyAlignment="1">
      <alignment horizontal="left"/>
    </xf>
    <xf numFmtId="9" fontId="73" fillId="0" borderId="0" xfId="0" applyNumberFormat="1" applyFont="1" applyAlignment="1">
      <alignment horizontal="left"/>
    </xf>
    <xf numFmtId="165" fontId="105" fillId="13" borderId="10" xfId="0" applyNumberFormat="1" applyFont="1" applyFill="1" applyBorder="1"/>
    <xf numFmtId="165" fontId="105" fillId="0" borderId="10" xfId="0" applyNumberFormat="1" applyFont="1" applyBorder="1"/>
    <xf numFmtId="2" fontId="110" fillId="0" borderId="0" xfId="0" applyNumberFormat="1" applyFont="1"/>
    <xf numFmtId="0" fontId="105" fillId="0" borderId="1" xfId="0" applyFont="1" applyBorder="1"/>
    <xf numFmtId="0" fontId="105" fillId="0" borderId="5" xfId="0" applyFont="1" applyBorder="1"/>
    <xf numFmtId="165" fontId="105" fillId="13" borderId="5" xfId="0" applyNumberFormat="1" applyFont="1" applyFill="1" applyBorder="1"/>
    <xf numFmtId="165" fontId="105" fillId="0" borderId="5" xfId="0" applyNumberFormat="1" applyFont="1" applyBorder="1"/>
    <xf numFmtId="165" fontId="105" fillId="6" borderId="5" xfId="1" applyNumberFormat="1" applyFont="1" applyFill="1" applyBorder="1" applyAlignment="1">
      <alignment horizontal="center"/>
    </xf>
    <xf numFmtId="165" fontId="105" fillId="6" borderId="5" xfId="1" applyNumberFormat="1" applyFont="1" applyFill="1" applyBorder="1"/>
    <xf numFmtId="165" fontId="105" fillId="8" borderId="5" xfId="0" applyNumberFormat="1" applyFont="1" applyFill="1" applyBorder="1"/>
    <xf numFmtId="165" fontId="105" fillId="0" borderId="32" xfId="0" applyNumberFormat="1" applyFont="1" applyBorder="1"/>
    <xf numFmtId="0" fontId="9" fillId="0" borderId="27" xfId="0" applyFont="1" applyBorder="1"/>
    <xf numFmtId="0" fontId="9" fillId="0" borderId="28" xfId="0" applyFont="1" applyBorder="1"/>
    <xf numFmtId="165" fontId="9" fillId="0" borderId="28" xfId="0" applyNumberFormat="1" applyFont="1" applyBorder="1"/>
    <xf numFmtId="165" fontId="105" fillId="6" borderId="28" xfId="1" applyNumberFormat="1" applyFont="1" applyFill="1" applyBorder="1"/>
    <xf numFmtId="165" fontId="9" fillId="8" borderId="28" xfId="0" applyNumberFormat="1" applyFont="1" applyFill="1" applyBorder="1"/>
    <xf numFmtId="0" fontId="110" fillId="0" borderId="1" xfId="0" applyFont="1" applyBorder="1"/>
    <xf numFmtId="0" fontId="110" fillId="0" borderId="5" xfId="0" applyFont="1" applyBorder="1"/>
    <xf numFmtId="2" fontId="110" fillId="0" borderId="5" xfId="0" applyNumberFormat="1" applyFont="1" applyBorder="1"/>
    <xf numFmtId="2" fontId="110" fillId="8" borderId="5" xfId="0" applyNumberFormat="1" applyFont="1" applyFill="1" applyBorder="1"/>
    <xf numFmtId="0" fontId="104" fillId="0" borderId="4" xfId="0" applyFont="1" applyBorder="1" applyAlignment="1">
      <alignment wrapText="1"/>
    </xf>
    <xf numFmtId="0" fontId="110" fillId="0" borderId="27" xfId="0" applyFont="1" applyBorder="1"/>
    <xf numFmtId="0" fontId="110" fillId="0" borderId="28" xfId="0" applyFont="1" applyBorder="1"/>
    <xf numFmtId="165" fontId="110" fillId="0" borderId="28" xfId="0" applyNumberFormat="1" applyFont="1" applyBorder="1"/>
    <xf numFmtId="165" fontId="110" fillId="8" borderId="28" xfId="0" applyNumberFormat="1" applyFont="1" applyFill="1" applyBorder="1"/>
    <xf numFmtId="9" fontId="110" fillId="0" borderId="28" xfId="1" applyFont="1" applyBorder="1" applyAlignment="1">
      <alignment horizontal="center" vertical="center"/>
    </xf>
    <xf numFmtId="0" fontId="102" fillId="0" borderId="4" xfId="0" applyFont="1" applyBorder="1" applyAlignment="1">
      <alignment wrapText="1"/>
    </xf>
    <xf numFmtId="0" fontId="72" fillId="0" borderId="27" xfId="0" applyFont="1" applyBorder="1"/>
    <xf numFmtId="0" fontId="72" fillId="0" borderId="28" xfId="0" applyFont="1" applyBorder="1"/>
    <xf numFmtId="2" fontId="72" fillId="0" borderId="28" xfId="0" applyNumberFormat="1" applyFont="1" applyBorder="1"/>
    <xf numFmtId="2" fontId="72" fillId="0" borderId="28" xfId="0" applyNumberFormat="1" applyFont="1" applyBorder="1" applyAlignment="1">
      <alignment wrapText="1"/>
    </xf>
    <xf numFmtId="2" fontId="72" fillId="8" borderId="28" xfId="0" applyNumberFormat="1" applyFont="1" applyFill="1" applyBorder="1"/>
    <xf numFmtId="2" fontId="72" fillId="3" borderId="28" xfId="0" applyNumberFormat="1" applyFont="1" applyFill="1" applyBorder="1"/>
    <xf numFmtId="0" fontId="73" fillId="0" borderId="2" xfId="0" applyFont="1" applyBorder="1" applyAlignment="1">
      <alignment horizontal="left"/>
    </xf>
    <xf numFmtId="165" fontId="117" fillId="0" borderId="4" xfId="0" applyNumberFormat="1" applyFont="1" applyBorder="1" applyAlignment="1">
      <alignment horizontal="right" wrapText="1"/>
    </xf>
    <xf numFmtId="165" fontId="105" fillId="0" borderId="27" xfId="0" applyNumberFormat="1" applyFont="1" applyBorder="1" applyAlignment="1">
      <alignment horizontal="right"/>
    </xf>
    <xf numFmtId="165" fontId="105" fillId="0" borderId="28" xfId="0" applyNumberFormat="1" applyFont="1" applyBorder="1" applyAlignment="1">
      <alignment horizontal="right"/>
    </xf>
    <xf numFmtId="165" fontId="105" fillId="0" borderId="28" xfId="0" applyNumberFormat="1" applyFont="1" applyBorder="1" applyAlignment="1">
      <alignment horizontal="right" wrapText="1"/>
    </xf>
    <xf numFmtId="165" fontId="105" fillId="8" borderId="28" xfId="0" applyNumberFormat="1" applyFont="1" applyFill="1" applyBorder="1" applyAlignment="1">
      <alignment horizontal="right"/>
    </xf>
    <xf numFmtId="165" fontId="72" fillId="0" borderId="26" xfId="0" applyNumberFormat="1" applyFont="1" applyBorder="1" applyAlignment="1">
      <alignment horizontal="right"/>
    </xf>
    <xf numFmtId="2" fontId="73" fillId="0" borderId="26" xfId="0" applyNumberFormat="1" applyFont="1" applyBorder="1" applyAlignment="1">
      <alignment horizontal="right"/>
    </xf>
    <xf numFmtId="2" fontId="110" fillId="0" borderId="26" xfId="0" applyNumberFormat="1" applyFont="1" applyBorder="1" applyAlignment="1">
      <alignment horizontal="right"/>
    </xf>
    <xf numFmtId="2" fontId="72" fillId="0" borderId="26" xfId="0" applyNumberFormat="1" applyFont="1" applyBorder="1" applyAlignment="1">
      <alignment horizontal="right"/>
    </xf>
    <xf numFmtId="2" fontId="73" fillId="0" borderId="26" xfId="0" applyNumberFormat="1" applyFont="1" applyBorder="1" applyAlignment="1">
      <alignment horizontal="left"/>
    </xf>
    <xf numFmtId="165" fontId="105" fillId="0" borderId="26" xfId="0" applyNumberFormat="1" applyFont="1" applyBorder="1" applyAlignment="1">
      <alignment horizontal="right"/>
    </xf>
    <xf numFmtId="165" fontId="9" fillId="0" borderId="26" xfId="0" applyNumberFormat="1" applyFont="1" applyBorder="1"/>
    <xf numFmtId="0" fontId="73" fillId="0" borderId="26" xfId="0" applyFont="1" applyBorder="1"/>
    <xf numFmtId="165" fontId="110" fillId="0" borderId="26" xfId="0" applyNumberFormat="1" applyFont="1" applyBorder="1"/>
    <xf numFmtId="9" fontId="110" fillId="0" borderId="26" xfId="1" applyFont="1" applyBorder="1" applyAlignment="1">
      <alignment horizontal="center" vertical="center"/>
    </xf>
    <xf numFmtId="2" fontId="72" fillId="0" borderId="26" xfId="0" applyNumberFormat="1" applyFont="1" applyBorder="1"/>
    <xf numFmtId="165" fontId="0" fillId="0" borderId="14" xfId="0" applyNumberFormat="1" applyBorder="1"/>
    <xf numFmtId="14" fontId="25" fillId="0" borderId="0" xfId="0" applyNumberFormat="1" applyFont="1" applyAlignment="1">
      <alignment horizontal="center"/>
    </xf>
    <xf numFmtId="0" fontId="124" fillId="7" borderId="0" xfId="0" applyFont="1" applyFill="1"/>
    <xf numFmtId="0" fontId="0" fillId="15" borderId="0" xfId="0" applyFill="1"/>
    <xf numFmtId="14" fontId="0" fillId="15" borderId="0" xfId="0" applyNumberFormat="1" applyFill="1"/>
    <xf numFmtId="0" fontId="124" fillId="15" borderId="0" xfId="0" applyFont="1" applyFill="1"/>
    <xf numFmtId="164" fontId="24" fillId="13" borderId="6" xfId="0" applyNumberFormat="1" applyFont="1" applyFill="1" applyBorder="1" applyAlignment="1">
      <alignment horizontal="right"/>
    </xf>
    <xf numFmtId="0" fontId="86" fillId="11" borderId="32" xfId="0" quotePrefix="1" applyFont="1" applyFill="1" applyBorder="1" applyAlignment="1">
      <alignment horizontal="center" vertical="center"/>
    </xf>
    <xf numFmtId="0" fontId="86" fillId="11" borderId="34" xfId="0" quotePrefix="1" applyFont="1" applyFill="1" applyBorder="1" applyAlignment="1">
      <alignment horizontal="center" vertical="center"/>
    </xf>
    <xf numFmtId="0" fontId="86" fillId="11" borderId="33" xfId="0" quotePrefix="1" applyFont="1" applyFill="1" applyBorder="1" applyAlignment="1">
      <alignment horizontal="center" vertical="center"/>
    </xf>
    <xf numFmtId="2" fontId="86" fillId="11" borderId="32" xfId="0" applyNumberFormat="1" applyFont="1" applyFill="1" applyBorder="1" applyAlignment="1">
      <alignment horizontal="center" vertical="center"/>
    </xf>
    <xf numFmtId="2" fontId="86" fillId="11" borderId="34" xfId="0" applyNumberFormat="1" applyFont="1" applyFill="1" applyBorder="1" applyAlignment="1">
      <alignment horizontal="center" vertical="center"/>
    </xf>
    <xf numFmtId="2" fontId="86" fillId="11" borderId="33" xfId="0" applyNumberFormat="1" applyFont="1" applyFill="1" applyBorder="1" applyAlignment="1">
      <alignment horizontal="center" vertical="center"/>
    </xf>
    <xf numFmtId="0" fontId="77" fillId="9" borderId="0" xfId="0" applyFont="1" applyFill="1" applyAlignment="1">
      <alignment horizontal="center"/>
    </xf>
    <xf numFmtId="0" fontId="78" fillId="9" borderId="0" xfId="0" applyFont="1" applyFill="1" applyAlignment="1">
      <alignment horizontal="center"/>
    </xf>
    <xf numFmtId="0" fontId="80" fillId="9" borderId="0" xfId="0" applyFont="1" applyFill="1" applyAlignment="1">
      <alignment horizontal="center"/>
    </xf>
    <xf numFmtId="0" fontId="83" fillId="10" borderId="34" xfId="0" applyFont="1" applyFill="1" applyBorder="1" applyAlignment="1">
      <alignment horizontal="center" vertical="center"/>
    </xf>
    <xf numFmtId="0" fontId="83" fillId="10" borderId="33" xfId="0" applyFont="1" applyFill="1" applyBorder="1" applyAlignment="1">
      <alignment horizontal="center" vertical="center"/>
    </xf>
    <xf numFmtId="0" fontId="85" fillId="9" borderId="0" xfId="0" applyFont="1" applyFill="1" applyAlignment="1">
      <alignment horizontal="center" vertical="center"/>
    </xf>
    <xf numFmtId="0" fontId="85" fillId="9" borderId="0" xfId="0" applyFont="1" applyFill="1" applyAlignment="1">
      <alignment horizontal="center" wrapText="1"/>
    </xf>
    <xf numFmtId="10" fontId="79" fillId="9" borderId="32" xfId="1" applyNumberFormat="1" applyFont="1" applyFill="1" applyBorder="1" applyAlignment="1">
      <alignment horizontal="center" vertical="center"/>
    </xf>
    <xf numFmtId="10" fontId="79" fillId="9" borderId="34" xfId="1" applyNumberFormat="1" applyFont="1" applyFill="1" applyBorder="1" applyAlignment="1">
      <alignment horizontal="center" vertical="center"/>
    </xf>
    <xf numFmtId="10" fontId="79" fillId="9" borderId="33" xfId="1" applyNumberFormat="1" applyFont="1" applyFill="1" applyBorder="1" applyAlignment="1">
      <alignment horizontal="center" vertical="center"/>
    </xf>
    <xf numFmtId="0" fontId="81" fillId="11" borderId="32" xfId="0" applyFont="1" applyFill="1" applyBorder="1" applyAlignment="1">
      <alignment vertical="center"/>
    </xf>
    <xf numFmtId="0" fontId="87" fillId="11" borderId="34" xfId="0" applyFont="1" applyFill="1" applyBorder="1" applyAlignment="1">
      <alignment vertical="center"/>
    </xf>
    <xf numFmtId="168" fontId="79" fillId="9" borderId="32" xfId="0" applyNumberFormat="1" applyFont="1" applyFill="1" applyBorder="1" applyAlignment="1">
      <alignment horizontal="center" vertical="center"/>
    </xf>
    <xf numFmtId="168" fontId="79" fillId="9" borderId="34" xfId="0" applyNumberFormat="1" applyFont="1" applyFill="1" applyBorder="1" applyAlignment="1">
      <alignment horizontal="center" vertical="center"/>
    </xf>
    <xf numFmtId="168" fontId="79" fillId="9" borderId="33" xfId="0" applyNumberFormat="1" applyFont="1" applyFill="1" applyBorder="1" applyAlignment="1">
      <alignment horizontal="center" vertical="center"/>
    </xf>
    <xf numFmtId="168" fontId="79" fillId="3" borderId="32" xfId="0" applyNumberFormat="1" applyFont="1" applyFill="1" applyBorder="1" applyAlignment="1">
      <alignment horizontal="center" vertical="center"/>
    </xf>
    <xf numFmtId="168" fontId="79" fillId="3" borderId="34" xfId="0" applyNumberFormat="1" applyFont="1" applyFill="1" applyBorder="1" applyAlignment="1">
      <alignment horizontal="center" vertical="center"/>
    </xf>
    <xf numFmtId="168" fontId="79" fillId="3" borderId="33" xfId="0" applyNumberFormat="1" applyFont="1" applyFill="1" applyBorder="1" applyAlignment="1">
      <alignment horizontal="center" vertical="center"/>
    </xf>
    <xf numFmtId="4" fontId="79" fillId="9" borderId="32" xfId="0" applyNumberFormat="1" applyFont="1" applyFill="1" applyBorder="1" applyAlignment="1">
      <alignment horizontal="center" vertical="center"/>
    </xf>
    <xf numFmtId="4" fontId="79" fillId="9" borderId="34" xfId="0" applyNumberFormat="1" applyFont="1" applyFill="1" applyBorder="1" applyAlignment="1">
      <alignment horizontal="center" vertical="center"/>
    </xf>
    <xf numFmtId="4" fontId="79" fillId="9" borderId="33" xfId="0" applyNumberFormat="1" applyFont="1" applyFill="1" applyBorder="1" applyAlignment="1">
      <alignment horizontal="center" vertical="center"/>
    </xf>
    <xf numFmtId="167" fontId="79" fillId="9" borderId="32" xfId="0" applyNumberFormat="1" applyFont="1" applyFill="1" applyBorder="1" applyAlignment="1">
      <alignment horizontal="center" vertical="center"/>
    </xf>
    <xf numFmtId="167" fontId="79" fillId="9" borderId="34" xfId="0" applyNumberFormat="1" applyFont="1" applyFill="1" applyBorder="1" applyAlignment="1">
      <alignment horizontal="center" vertical="center"/>
    </xf>
    <xf numFmtId="167" fontId="79" fillId="9" borderId="33" xfId="0" applyNumberFormat="1" applyFont="1" applyFill="1" applyBorder="1" applyAlignment="1">
      <alignment horizontal="center" vertical="center"/>
    </xf>
    <xf numFmtId="2" fontId="79" fillId="9" borderId="32" xfId="0" applyNumberFormat="1" applyFont="1" applyFill="1" applyBorder="1" applyAlignment="1">
      <alignment horizontal="center" vertical="center"/>
    </xf>
    <xf numFmtId="2" fontId="79" fillId="9" borderId="34" xfId="0" applyNumberFormat="1" applyFont="1" applyFill="1" applyBorder="1" applyAlignment="1">
      <alignment horizontal="center" vertical="center"/>
    </xf>
    <xf numFmtId="2" fontId="79" fillId="9" borderId="33" xfId="0" applyNumberFormat="1" applyFont="1" applyFill="1" applyBorder="1" applyAlignment="1">
      <alignment horizontal="center" vertical="center"/>
    </xf>
    <xf numFmtId="2" fontId="79" fillId="3" borderId="32" xfId="0" applyNumberFormat="1" applyFont="1" applyFill="1" applyBorder="1" applyAlignment="1">
      <alignment horizontal="center" vertical="center"/>
    </xf>
    <xf numFmtId="2" fontId="79" fillId="3" borderId="34" xfId="0" applyNumberFormat="1" applyFont="1" applyFill="1" applyBorder="1" applyAlignment="1">
      <alignment horizontal="center" vertical="center"/>
    </xf>
    <xf numFmtId="2" fontId="79" fillId="3" borderId="33" xfId="0" applyNumberFormat="1" applyFont="1" applyFill="1" applyBorder="1" applyAlignment="1">
      <alignment horizontal="center" vertical="center"/>
    </xf>
    <xf numFmtId="167" fontId="79" fillId="3" borderId="32" xfId="2" applyNumberFormat="1" applyFont="1" applyFill="1" applyBorder="1" applyAlignment="1">
      <alignment horizontal="center" vertical="center"/>
    </xf>
    <xf numFmtId="167" fontId="79" fillId="3" borderId="34" xfId="2" applyNumberFormat="1" applyFont="1" applyFill="1" applyBorder="1" applyAlignment="1">
      <alignment horizontal="center" vertical="center"/>
    </xf>
    <xf numFmtId="167" fontId="79" fillId="3" borderId="33" xfId="2" applyNumberFormat="1" applyFont="1" applyFill="1" applyBorder="1" applyAlignment="1">
      <alignment horizontal="center" vertical="center"/>
    </xf>
    <xf numFmtId="10" fontId="79" fillId="3" borderId="32" xfId="1" applyNumberFormat="1" applyFont="1" applyFill="1" applyBorder="1" applyAlignment="1">
      <alignment horizontal="center" vertical="center"/>
    </xf>
    <xf numFmtId="10" fontId="79" fillId="3" borderId="34" xfId="1" applyNumberFormat="1" applyFont="1" applyFill="1" applyBorder="1" applyAlignment="1">
      <alignment horizontal="center" vertical="center"/>
    </xf>
    <xf numFmtId="10" fontId="79" fillId="3" borderId="33" xfId="1" applyNumberFormat="1" applyFont="1" applyFill="1" applyBorder="1" applyAlignment="1">
      <alignment horizontal="center" vertical="center"/>
    </xf>
    <xf numFmtId="0" fontId="81" fillId="11" borderId="1" xfId="0" applyFont="1" applyFill="1" applyBorder="1" applyAlignment="1">
      <alignment vertical="center"/>
    </xf>
    <xf numFmtId="0" fontId="87" fillId="11" borderId="2" xfId="0" applyFont="1" applyFill="1" applyBorder="1" applyAlignment="1">
      <alignment vertical="center"/>
    </xf>
    <xf numFmtId="0" fontId="95" fillId="10" borderId="32" xfId="0" applyFont="1" applyFill="1" applyBorder="1" applyAlignment="1">
      <alignment horizontal="center" vertical="center"/>
    </xf>
    <xf numFmtId="0" fontId="95" fillId="10" borderId="34" xfId="0" applyFont="1" applyFill="1" applyBorder="1" applyAlignment="1">
      <alignment horizontal="center" vertical="center"/>
    </xf>
    <xf numFmtId="0" fontId="95" fillId="10" borderId="33" xfId="0" applyFont="1" applyFill="1" applyBorder="1" applyAlignment="1">
      <alignment horizontal="center" vertical="center"/>
    </xf>
    <xf numFmtId="0" fontId="79" fillId="9" borderId="0" xfId="0" applyFont="1" applyFill="1" applyAlignment="1">
      <alignment horizontal="center"/>
    </xf>
    <xf numFmtId="0" fontId="79" fillId="9" borderId="6" xfId="0" applyFont="1" applyFill="1" applyBorder="1" applyAlignment="1">
      <alignment horizontal="center"/>
    </xf>
    <xf numFmtId="0" fontId="95" fillId="9" borderId="11" xfId="0" applyFont="1" applyFill="1" applyBorder="1" applyAlignment="1">
      <alignment horizontal="center"/>
    </xf>
    <xf numFmtId="0" fontId="95" fillId="9" borderId="12" xfId="0" applyFont="1" applyFill="1" applyBorder="1" applyAlignment="1">
      <alignment horizontal="center"/>
    </xf>
    <xf numFmtId="0" fontId="95" fillId="10" borderId="1" xfId="0" applyFont="1" applyFill="1" applyBorder="1" applyAlignment="1">
      <alignment horizontal="center" vertical="center" wrapText="1"/>
    </xf>
    <xf numFmtId="0" fontId="95" fillId="10" borderId="2" xfId="0" applyFont="1" applyFill="1" applyBorder="1" applyAlignment="1">
      <alignment horizontal="center" vertical="center" wrapText="1"/>
    </xf>
    <xf numFmtId="0" fontId="95" fillId="10" borderId="3" xfId="0" applyFont="1" applyFill="1" applyBorder="1" applyAlignment="1">
      <alignment horizontal="center" vertical="center" wrapText="1"/>
    </xf>
    <xf numFmtId="0" fontId="95" fillId="10" borderId="10" xfId="0" applyFont="1" applyFill="1" applyBorder="1" applyAlignment="1">
      <alignment horizontal="center" vertical="center" wrapText="1"/>
    </xf>
    <xf numFmtId="0" fontId="95" fillId="10" borderId="11" xfId="0" applyFont="1" applyFill="1" applyBorder="1" applyAlignment="1">
      <alignment horizontal="center" vertical="center" wrapText="1"/>
    </xf>
    <xf numFmtId="0" fontId="95" fillId="10" borderId="12" xfId="0" applyFont="1" applyFill="1" applyBorder="1" applyAlignment="1">
      <alignment horizontal="center" vertical="center" wrapText="1"/>
    </xf>
    <xf numFmtId="0" fontId="62" fillId="0" borderId="1" xfId="0" applyFont="1" applyBorder="1" applyAlignment="1">
      <alignment horizontal="center" vertical="center"/>
    </xf>
    <xf numFmtId="0" fontId="62" fillId="0" borderId="2" xfId="0" applyFont="1" applyBorder="1" applyAlignment="1">
      <alignment horizontal="center" vertical="center"/>
    </xf>
    <xf numFmtId="0" fontId="21" fillId="0" borderId="30" xfId="0" applyFont="1" applyBorder="1" applyAlignment="1">
      <alignment horizontal="center"/>
    </xf>
    <xf numFmtId="0" fontId="21" fillId="0" borderId="0" xfId="0" applyFont="1" applyAlignment="1">
      <alignment horizontal="center"/>
    </xf>
    <xf numFmtId="0" fontId="21" fillId="0" borderId="31" xfId="0" applyFont="1" applyBorder="1" applyAlignment="1">
      <alignment horizontal="center"/>
    </xf>
    <xf numFmtId="0" fontId="1" fillId="0" borderId="26" xfId="0" applyFont="1" applyBorder="1" applyAlignment="1">
      <alignment horizontal="center"/>
    </xf>
    <xf numFmtId="0" fontId="22" fillId="0" borderId="0" xfId="0" applyFont="1" applyAlignment="1">
      <alignment horizontal="center"/>
    </xf>
  </cellXfs>
  <cellStyles count="5">
    <cellStyle name="Comma" xfId="2" builtinId="3"/>
    <cellStyle name="Currency" xfId="3" builtinId="4"/>
    <cellStyle name="Hyperlink" xfId="4"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ers/Kate/Documents/Barwick%20&amp;%20Stoford%20Parish%20Council/Accounts/Precept/Precept%202024%202025/CTX%20PP%20parish%20precept%20form%202024-25.xlsx" TargetMode="External"/><Relationship Id="rId2" Type="http://schemas.openxmlformats.org/officeDocument/2006/relationships/externalLinkPath" Target="file:///C:\Users\Kate\Documents\Barwick%20&amp;%20Stoford%20Parish%20Council\Accounts\Precept\Precept%202024%202025\CTX%20PP%20parish%20precept%20form%202024-25.xlsx" TargetMode="External"/><Relationship Id="rId1" Type="http://schemas.openxmlformats.org/officeDocument/2006/relationships/externalLinkPath" Target="/Users/Kate/Documents/Barwick%20&amp;%20Stoford%20Parish%20Council/Accounts/Precept/Precept%202024%202025/CTX%20PP%20parish%20precept%20form%20202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ax Base"/>
      <sheetName val="Form"/>
      <sheetName val="Tax Base Explained"/>
      <sheetName val="Calculator per Band D"/>
      <sheetName val="Calculator Total Precept"/>
    </sheetNames>
    <sheetDataSet>
      <sheetData sheetId="0">
        <row r="4">
          <cell r="B4" t="str">
            <v>Ashwick</v>
          </cell>
          <cell r="C4">
            <v>543.70000000000005</v>
          </cell>
          <cell r="E4">
            <v>553.95000000000005</v>
          </cell>
          <cell r="F4">
            <v>23000</v>
          </cell>
        </row>
        <row r="5">
          <cell r="B5" t="str">
            <v>Baltonsborough</v>
          </cell>
          <cell r="C5">
            <v>447.85</v>
          </cell>
          <cell r="E5">
            <v>450.56</v>
          </cell>
          <cell r="F5">
            <v>17000</v>
          </cell>
        </row>
        <row r="6">
          <cell r="B6" t="str">
            <v>Batcombe</v>
          </cell>
          <cell r="C6">
            <v>212.78</v>
          </cell>
          <cell r="E6">
            <v>209.6</v>
          </cell>
          <cell r="F6">
            <v>9925</v>
          </cell>
        </row>
        <row r="7">
          <cell r="B7" t="str">
            <v>Beckington</v>
          </cell>
          <cell r="C7">
            <v>541.54</v>
          </cell>
          <cell r="E7">
            <v>531.58000000000004</v>
          </cell>
          <cell r="F7">
            <v>40626</v>
          </cell>
        </row>
        <row r="8">
          <cell r="B8" t="str">
            <v>Berkley</v>
          </cell>
          <cell r="C8">
            <v>116.88</v>
          </cell>
          <cell r="E8">
            <v>115.11</v>
          </cell>
          <cell r="F8">
            <v>3000</v>
          </cell>
        </row>
        <row r="9">
          <cell r="B9" t="str">
            <v>Binegar</v>
          </cell>
          <cell r="C9">
            <v>155.18</v>
          </cell>
          <cell r="E9">
            <v>152.51</v>
          </cell>
          <cell r="F9">
            <v>10000</v>
          </cell>
        </row>
        <row r="10">
          <cell r="B10" t="str">
            <v>Buckland Dinham</v>
          </cell>
          <cell r="C10">
            <v>186.37</v>
          </cell>
          <cell r="E10">
            <v>186.73</v>
          </cell>
          <cell r="F10">
            <v>10258</v>
          </cell>
        </row>
        <row r="11">
          <cell r="B11" t="str">
            <v>Butleigh</v>
          </cell>
          <cell r="C11">
            <v>416.37</v>
          </cell>
          <cell r="E11">
            <v>414.57</v>
          </cell>
          <cell r="F11">
            <v>16000</v>
          </cell>
        </row>
        <row r="12">
          <cell r="B12" t="str">
            <v>Chewton Mendip</v>
          </cell>
          <cell r="C12">
            <v>251.81</v>
          </cell>
          <cell r="E12">
            <v>249.86</v>
          </cell>
          <cell r="F12">
            <v>7250</v>
          </cell>
        </row>
        <row r="13">
          <cell r="B13" t="str">
            <v>Chilcompton</v>
          </cell>
          <cell r="C13">
            <v>903.17</v>
          </cell>
          <cell r="E13">
            <v>896.82</v>
          </cell>
          <cell r="F13">
            <v>36000</v>
          </cell>
        </row>
        <row r="14">
          <cell r="B14" t="str">
            <v>Coleford</v>
          </cell>
          <cell r="C14">
            <v>755.24</v>
          </cell>
          <cell r="E14">
            <v>748.98</v>
          </cell>
          <cell r="F14">
            <v>49574</v>
          </cell>
        </row>
        <row r="15">
          <cell r="B15" t="str">
            <v>Cranmore</v>
          </cell>
          <cell r="C15">
            <v>210.23</v>
          </cell>
          <cell r="E15">
            <v>209.61</v>
          </cell>
          <cell r="F15">
            <v>10686</v>
          </cell>
        </row>
        <row r="16">
          <cell r="B16" t="str">
            <v>Croscombe</v>
          </cell>
          <cell r="C16">
            <v>261.8</v>
          </cell>
          <cell r="E16">
            <v>263.5</v>
          </cell>
          <cell r="F16">
            <v>11500</v>
          </cell>
        </row>
        <row r="17">
          <cell r="B17" t="str">
            <v>Ditcheat</v>
          </cell>
          <cell r="C17">
            <v>332.77</v>
          </cell>
          <cell r="E17">
            <v>326.18</v>
          </cell>
          <cell r="F17">
            <v>11733</v>
          </cell>
        </row>
        <row r="18">
          <cell r="B18" t="str">
            <v>Doulting</v>
          </cell>
          <cell r="C18">
            <v>244.7</v>
          </cell>
          <cell r="E18">
            <v>242.84</v>
          </cell>
          <cell r="F18">
            <v>14500</v>
          </cell>
        </row>
        <row r="19">
          <cell r="B19" t="str">
            <v>Downhead</v>
          </cell>
          <cell r="C19">
            <v>44.31</v>
          </cell>
          <cell r="E19">
            <v>39.94</v>
          </cell>
          <cell r="F19">
            <v>1000</v>
          </cell>
        </row>
        <row r="20">
          <cell r="B20" t="str">
            <v>East Pennard</v>
          </cell>
          <cell r="C20">
            <v>154.94999999999999</v>
          </cell>
          <cell r="E20">
            <v>153.04</v>
          </cell>
          <cell r="F20">
            <v>2800</v>
          </cell>
        </row>
        <row r="21">
          <cell r="B21" t="str">
            <v>Emborough</v>
          </cell>
          <cell r="C21">
            <v>60.91</v>
          </cell>
          <cell r="E21">
            <v>61.39</v>
          </cell>
          <cell r="F21">
            <v>0</v>
          </cell>
        </row>
        <row r="22">
          <cell r="B22" t="str">
            <v>Evercreech</v>
          </cell>
          <cell r="C22">
            <v>938.96</v>
          </cell>
          <cell r="E22">
            <v>950.49</v>
          </cell>
          <cell r="F22">
            <v>50963</v>
          </cell>
        </row>
        <row r="23">
          <cell r="B23" t="str">
            <v>Frome</v>
          </cell>
          <cell r="C23">
            <v>9223.31</v>
          </cell>
          <cell r="E23">
            <v>9060.52</v>
          </cell>
          <cell r="F23">
            <v>1983504</v>
          </cell>
        </row>
        <row r="24">
          <cell r="B24" t="str">
            <v>Glastonbury</v>
          </cell>
          <cell r="C24">
            <v>3241.87</v>
          </cell>
          <cell r="E24">
            <v>3254.62</v>
          </cell>
          <cell r="F24">
            <v>650924</v>
          </cell>
        </row>
        <row r="25">
          <cell r="B25" t="str">
            <v>Godney</v>
          </cell>
          <cell r="C25">
            <v>94.36</v>
          </cell>
          <cell r="E25">
            <v>93.83</v>
          </cell>
          <cell r="F25">
            <v>10498</v>
          </cell>
        </row>
        <row r="26">
          <cell r="B26" t="str">
            <v>Great Elm</v>
          </cell>
          <cell r="C26">
            <v>81.81</v>
          </cell>
          <cell r="E26">
            <v>81.22</v>
          </cell>
          <cell r="F26">
            <v>0</v>
          </cell>
        </row>
        <row r="27">
          <cell r="B27" t="str">
            <v>Hemington</v>
          </cell>
          <cell r="C27">
            <v>293.94</v>
          </cell>
          <cell r="E27">
            <v>293.39999999999998</v>
          </cell>
          <cell r="F27">
            <v>17994</v>
          </cell>
        </row>
        <row r="28">
          <cell r="B28" t="str">
            <v>Holcombe</v>
          </cell>
          <cell r="C28">
            <v>427.54</v>
          </cell>
          <cell r="E28">
            <v>422.29</v>
          </cell>
          <cell r="F28">
            <v>13081</v>
          </cell>
        </row>
        <row r="29">
          <cell r="B29" t="str">
            <v>Kilmersdon</v>
          </cell>
          <cell r="C29">
            <v>243.05</v>
          </cell>
          <cell r="E29">
            <v>240</v>
          </cell>
          <cell r="F29">
            <v>22528</v>
          </cell>
        </row>
        <row r="30">
          <cell r="B30" t="str">
            <v>Lamyatt</v>
          </cell>
          <cell r="C30">
            <v>93.9</v>
          </cell>
          <cell r="E30">
            <v>91.54</v>
          </cell>
          <cell r="F30">
            <v>0</v>
          </cell>
        </row>
        <row r="31">
          <cell r="B31" t="str">
            <v>Leigh on Mendip</v>
          </cell>
          <cell r="C31">
            <v>225.14</v>
          </cell>
          <cell r="E31">
            <v>223.42</v>
          </cell>
          <cell r="F31">
            <v>11865</v>
          </cell>
        </row>
        <row r="32">
          <cell r="B32" t="str">
            <v>Litton</v>
          </cell>
          <cell r="C32">
            <v>118.84</v>
          </cell>
          <cell r="E32">
            <v>119.8</v>
          </cell>
          <cell r="F32">
            <v>5000</v>
          </cell>
        </row>
        <row r="33">
          <cell r="B33" t="str">
            <v>Lullington</v>
          </cell>
          <cell r="C33">
            <v>81.55</v>
          </cell>
          <cell r="E33">
            <v>81.17</v>
          </cell>
          <cell r="F33">
            <v>2500</v>
          </cell>
        </row>
        <row r="34">
          <cell r="B34" t="str">
            <v>Lydford on Fosse</v>
          </cell>
          <cell r="C34">
            <v>234.67</v>
          </cell>
          <cell r="E34">
            <v>232.7</v>
          </cell>
          <cell r="F34">
            <v>12000</v>
          </cell>
        </row>
        <row r="35">
          <cell r="B35" t="str">
            <v>Meare</v>
          </cell>
          <cell r="C35">
            <v>549.63</v>
          </cell>
          <cell r="E35">
            <v>544.83000000000004</v>
          </cell>
          <cell r="F35">
            <v>48000</v>
          </cell>
        </row>
        <row r="36">
          <cell r="B36" t="str">
            <v>Mells</v>
          </cell>
          <cell r="C36">
            <v>266.62</v>
          </cell>
          <cell r="E36">
            <v>273.58999999999997</v>
          </cell>
          <cell r="F36">
            <v>13000</v>
          </cell>
        </row>
        <row r="37">
          <cell r="B37" t="str">
            <v>Milton Clevedon</v>
          </cell>
          <cell r="C37">
            <v>39.78</v>
          </cell>
          <cell r="E37">
            <v>38.15</v>
          </cell>
          <cell r="F37">
            <v>0</v>
          </cell>
        </row>
        <row r="38">
          <cell r="B38" t="str">
            <v>North Wootton</v>
          </cell>
          <cell r="C38">
            <v>145.4</v>
          </cell>
          <cell r="E38">
            <v>149.44999999999999</v>
          </cell>
          <cell r="F38">
            <v>4666</v>
          </cell>
        </row>
        <row r="39">
          <cell r="B39" t="str">
            <v>Norton St Philip</v>
          </cell>
          <cell r="C39">
            <v>520.09</v>
          </cell>
          <cell r="E39">
            <v>511.9</v>
          </cell>
          <cell r="F39">
            <v>53212</v>
          </cell>
        </row>
        <row r="40">
          <cell r="B40" t="str">
            <v>Nunney</v>
          </cell>
          <cell r="C40">
            <v>360.57</v>
          </cell>
          <cell r="E40">
            <v>325.7</v>
          </cell>
          <cell r="F40">
            <v>37890</v>
          </cell>
        </row>
        <row r="41">
          <cell r="B41" t="str">
            <v>Pilton</v>
          </cell>
          <cell r="C41">
            <v>490.55</v>
          </cell>
          <cell r="E41">
            <v>489.41</v>
          </cell>
          <cell r="F41">
            <v>17100</v>
          </cell>
        </row>
        <row r="42">
          <cell r="B42" t="str">
            <v>Priddy</v>
          </cell>
          <cell r="C42">
            <v>290.10000000000002</v>
          </cell>
          <cell r="E42">
            <v>288.58999999999997</v>
          </cell>
          <cell r="F42">
            <v>11500</v>
          </cell>
        </row>
        <row r="43">
          <cell r="B43" t="str">
            <v>Pylle</v>
          </cell>
          <cell r="C43">
            <v>70.489999999999995</v>
          </cell>
          <cell r="E43">
            <v>71.38</v>
          </cell>
          <cell r="F43">
            <v>0</v>
          </cell>
        </row>
        <row r="44">
          <cell r="B44" t="str">
            <v>Rode</v>
          </cell>
          <cell r="C44">
            <v>510.57</v>
          </cell>
          <cell r="E44">
            <v>508.61</v>
          </cell>
          <cell r="F44">
            <v>24990</v>
          </cell>
        </row>
        <row r="45">
          <cell r="B45" t="str">
            <v>Rodney Stoke</v>
          </cell>
          <cell r="C45">
            <v>560.91999999999996</v>
          </cell>
          <cell r="E45">
            <v>560.16</v>
          </cell>
          <cell r="F45">
            <v>27084</v>
          </cell>
        </row>
        <row r="46">
          <cell r="B46" t="str">
            <v>Selwood</v>
          </cell>
          <cell r="C46">
            <v>395.97</v>
          </cell>
          <cell r="E46">
            <v>391.72</v>
          </cell>
          <cell r="F46">
            <v>7000</v>
          </cell>
        </row>
        <row r="47">
          <cell r="B47" t="str">
            <v>Sharpham</v>
          </cell>
          <cell r="C47">
            <v>22.1</v>
          </cell>
          <cell r="E47">
            <v>21.03</v>
          </cell>
          <cell r="F47">
            <v>0</v>
          </cell>
        </row>
        <row r="48">
          <cell r="B48" t="str">
            <v>Shepton Mallet</v>
          </cell>
          <cell r="C48">
            <v>3462.85</v>
          </cell>
          <cell r="E48">
            <v>3429.64</v>
          </cell>
          <cell r="F48">
            <v>715750</v>
          </cell>
        </row>
        <row r="49">
          <cell r="B49" t="str">
            <v>St Cuthbert Out</v>
          </cell>
          <cell r="C49">
            <v>2122.3200000000002</v>
          </cell>
          <cell r="E49">
            <v>2039.77</v>
          </cell>
          <cell r="F49">
            <v>161883</v>
          </cell>
        </row>
        <row r="50">
          <cell r="B50" t="str">
            <v>Stoke St Michael</v>
          </cell>
          <cell r="C50">
            <v>376.37</v>
          </cell>
          <cell r="E50">
            <v>368.21</v>
          </cell>
          <cell r="F50">
            <v>27276</v>
          </cell>
        </row>
        <row r="51">
          <cell r="B51" t="str">
            <v>Ston Easton</v>
          </cell>
          <cell r="C51">
            <v>232.44</v>
          </cell>
          <cell r="E51">
            <v>226.1</v>
          </cell>
          <cell r="F51">
            <v>7000</v>
          </cell>
        </row>
        <row r="52">
          <cell r="B52" t="str">
            <v>Stratton on the Fosse</v>
          </cell>
          <cell r="C52">
            <v>274.93</v>
          </cell>
          <cell r="E52">
            <v>274.82</v>
          </cell>
          <cell r="F52">
            <v>17850</v>
          </cell>
        </row>
        <row r="53">
          <cell r="B53" t="str">
            <v>Street</v>
          </cell>
          <cell r="C53">
            <v>3840.17</v>
          </cell>
          <cell r="E53">
            <v>3832.13</v>
          </cell>
          <cell r="F53">
            <v>650000</v>
          </cell>
        </row>
        <row r="54">
          <cell r="B54" t="str">
            <v>Tellisford</v>
          </cell>
          <cell r="C54">
            <v>95.21</v>
          </cell>
          <cell r="E54">
            <v>94.05</v>
          </cell>
          <cell r="F54">
            <v>0</v>
          </cell>
        </row>
        <row r="55">
          <cell r="B55" t="str">
            <v>Trudoxhill</v>
          </cell>
          <cell r="C55">
            <v>192.54</v>
          </cell>
          <cell r="E55">
            <v>187.88</v>
          </cell>
          <cell r="F55">
            <v>7079</v>
          </cell>
        </row>
        <row r="56">
          <cell r="B56" t="str">
            <v>Upton Noble</v>
          </cell>
          <cell r="C56">
            <v>68.459999999999994</v>
          </cell>
          <cell r="E56">
            <v>66.849999999999994</v>
          </cell>
          <cell r="F56">
            <v>0</v>
          </cell>
        </row>
        <row r="57">
          <cell r="B57" t="str">
            <v>Walton</v>
          </cell>
          <cell r="C57">
            <v>464.07</v>
          </cell>
          <cell r="E57">
            <v>457.91</v>
          </cell>
          <cell r="F57">
            <v>35837</v>
          </cell>
        </row>
        <row r="58">
          <cell r="B58" t="str">
            <v>Wanstrow</v>
          </cell>
          <cell r="C58">
            <v>199.45</v>
          </cell>
          <cell r="E58">
            <v>193.56</v>
          </cell>
          <cell r="F58">
            <v>8338</v>
          </cell>
        </row>
        <row r="59">
          <cell r="B59" t="str">
            <v>Wells</v>
          </cell>
          <cell r="C59">
            <v>4380.25</v>
          </cell>
          <cell r="E59">
            <v>4352.7700000000004</v>
          </cell>
          <cell r="F59">
            <v>1149307</v>
          </cell>
        </row>
        <row r="60">
          <cell r="B60" t="str">
            <v>West Bradley</v>
          </cell>
          <cell r="C60">
            <v>138.30000000000001</v>
          </cell>
          <cell r="E60">
            <v>131.47</v>
          </cell>
          <cell r="F60">
            <v>0</v>
          </cell>
        </row>
        <row r="61">
          <cell r="B61" t="str">
            <v>Westbury Sub Mendip</v>
          </cell>
          <cell r="C61">
            <v>380.02</v>
          </cell>
          <cell r="E61">
            <v>375.81</v>
          </cell>
          <cell r="F61">
            <v>12595</v>
          </cell>
        </row>
        <row r="62">
          <cell r="B62" t="str">
            <v>West Pennard</v>
          </cell>
          <cell r="C62">
            <v>317.12</v>
          </cell>
          <cell r="E62">
            <v>310.42</v>
          </cell>
          <cell r="F62">
            <v>7000</v>
          </cell>
        </row>
        <row r="63">
          <cell r="B63" t="str">
            <v>Whatley</v>
          </cell>
          <cell r="C63">
            <v>129.27000000000001</v>
          </cell>
          <cell r="E63">
            <v>128.49</v>
          </cell>
          <cell r="F63">
            <v>7500</v>
          </cell>
        </row>
        <row r="64">
          <cell r="B64" t="str">
            <v>Witham Friary</v>
          </cell>
          <cell r="C64">
            <v>162.96</v>
          </cell>
          <cell r="E64">
            <v>162.59</v>
          </cell>
          <cell r="F64">
            <v>10274</v>
          </cell>
        </row>
        <row r="65">
          <cell r="B65" t="str">
            <v>Wookey</v>
          </cell>
          <cell r="C65">
            <v>485.16</v>
          </cell>
          <cell r="E65">
            <v>486.96</v>
          </cell>
          <cell r="F65">
            <v>47180</v>
          </cell>
        </row>
        <row r="66">
          <cell r="B66" t="str">
            <v>Ashcott</v>
          </cell>
          <cell r="C66">
            <v>476.56</v>
          </cell>
          <cell r="E66">
            <v>467.2</v>
          </cell>
          <cell r="F66">
            <v>20495</v>
          </cell>
        </row>
        <row r="67">
          <cell r="B67" t="str">
            <v>Axbridge</v>
          </cell>
          <cell r="C67">
            <v>726.12</v>
          </cell>
          <cell r="E67">
            <v>714.41</v>
          </cell>
          <cell r="F67">
            <v>111000</v>
          </cell>
        </row>
        <row r="68">
          <cell r="B68" t="str">
            <v>Badgworth</v>
          </cell>
          <cell r="C68">
            <v>237.56</v>
          </cell>
          <cell r="E68">
            <v>232.12</v>
          </cell>
          <cell r="F68">
            <v>9880</v>
          </cell>
        </row>
        <row r="69">
          <cell r="B69" t="str">
            <v>Bawdrip</v>
          </cell>
          <cell r="C69">
            <v>233.64</v>
          </cell>
          <cell r="E69">
            <v>238.39</v>
          </cell>
          <cell r="F69">
            <v>8750</v>
          </cell>
        </row>
        <row r="70">
          <cell r="B70" t="str">
            <v>Berrow</v>
          </cell>
          <cell r="C70">
            <v>618.64</v>
          </cell>
          <cell r="E70">
            <v>627.34</v>
          </cell>
          <cell r="F70">
            <v>74887</v>
          </cell>
        </row>
        <row r="71">
          <cell r="B71" t="str">
            <v>Brean</v>
          </cell>
          <cell r="C71">
            <v>252.12</v>
          </cell>
          <cell r="E71">
            <v>254.73</v>
          </cell>
          <cell r="F71">
            <v>11178</v>
          </cell>
        </row>
        <row r="72">
          <cell r="B72" t="str">
            <v>Brent Knoll</v>
          </cell>
          <cell r="C72">
            <v>580.19000000000005</v>
          </cell>
          <cell r="E72">
            <v>578.36</v>
          </cell>
          <cell r="F72">
            <v>50620</v>
          </cell>
        </row>
        <row r="73">
          <cell r="B73" t="str">
            <v xml:space="preserve">Bridgwater </v>
          </cell>
          <cell r="C73">
            <v>10399.120000000001</v>
          </cell>
          <cell r="E73">
            <v>10296.83</v>
          </cell>
          <cell r="F73">
            <v>1153746</v>
          </cell>
        </row>
        <row r="74">
          <cell r="B74" t="str">
            <v>Bridgwater Without</v>
          </cell>
          <cell r="C74">
            <v>967.56</v>
          </cell>
          <cell r="E74">
            <v>1061.0999999999999</v>
          </cell>
          <cell r="F74">
            <v>42444</v>
          </cell>
        </row>
        <row r="75">
          <cell r="B75" t="str">
            <v>Broomfield</v>
          </cell>
          <cell r="C75">
            <v>112.56</v>
          </cell>
          <cell r="E75">
            <v>115.73</v>
          </cell>
          <cell r="F75">
            <v>3650</v>
          </cell>
        </row>
        <row r="76">
          <cell r="B76" t="str">
            <v>Burnham-on-Sea &amp; Highbridge</v>
          </cell>
          <cell r="C76">
            <v>6644.64</v>
          </cell>
          <cell r="E76">
            <v>6619.03</v>
          </cell>
          <cell r="F76">
            <v>768500</v>
          </cell>
        </row>
        <row r="77">
          <cell r="B77" t="str">
            <v>Burnham Without</v>
          </cell>
          <cell r="C77">
            <v>696.33</v>
          </cell>
          <cell r="E77">
            <v>693.24</v>
          </cell>
          <cell r="F77">
            <v>22000</v>
          </cell>
        </row>
        <row r="78">
          <cell r="B78" t="str">
            <v>Burtle</v>
          </cell>
          <cell r="C78">
            <v>157.38</v>
          </cell>
          <cell r="E78">
            <v>156.5</v>
          </cell>
          <cell r="F78">
            <v>4400</v>
          </cell>
        </row>
        <row r="79">
          <cell r="B79" t="str">
            <v>Cannington</v>
          </cell>
          <cell r="C79">
            <v>809.27</v>
          </cell>
          <cell r="E79">
            <v>793.2</v>
          </cell>
          <cell r="F79">
            <v>40000</v>
          </cell>
        </row>
        <row r="80">
          <cell r="B80" t="str">
            <v>Catcott</v>
          </cell>
          <cell r="C80">
            <v>239.21</v>
          </cell>
          <cell r="E80">
            <v>242.99</v>
          </cell>
          <cell r="F80">
            <v>9500</v>
          </cell>
        </row>
        <row r="81">
          <cell r="B81" t="str">
            <v>Chapel Allerton</v>
          </cell>
          <cell r="C81">
            <v>190.84</v>
          </cell>
          <cell r="E81">
            <v>190.36</v>
          </cell>
          <cell r="F81">
            <v>6500</v>
          </cell>
        </row>
        <row r="82">
          <cell r="B82" t="str">
            <v>Cheddar</v>
          </cell>
          <cell r="C82">
            <v>2521.35</v>
          </cell>
          <cell r="E82">
            <v>2434.3200000000002</v>
          </cell>
          <cell r="F82">
            <v>261401</v>
          </cell>
        </row>
        <row r="83">
          <cell r="B83" t="str">
            <v>Chedzoy</v>
          </cell>
          <cell r="C83">
            <v>168.15</v>
          </cell>
          <cell r="E83">
            <v>168.7</v>
          </cell>
          <cell r="F83">
            <v>8692</v>
          </cell>
        </row>
        <row r="84">
          <cell r="B84" t="str">
            <v>Chilton Polden</v>
          </cell>
          <cell r="C84">
            <v>303.54000000000002</v>
          </cell>
          <cell r="E84">
            <v>305.74</v>
          </cell>
          <cell r="F84">
            <v>6756</v>
          </cell>
        </row>
        <row r="85">
          <cell r="B85" t="str">
            <v>Chilton Trinity</v>
          </cell>
          <cell r="C85">
            <v>189.72</v>
          </cell>
          <cell r="E85">
            <v>190.58</v>
          </cell>
          <cell r="F85">
            <v>10750</v>
          </cell>
        </row>
        <row r="86">
          <cell r="B86" t="str">
            <v>Compton Bishop</v>
          </cell>
          <cell r="C86">
            <v>283.05</v>
          </cell>
          <cell r="E86">
            <v>285.43</v>
          </cell>
          <cell r="F86">
            <v>15000</v>
          </cell>
        </row>
        <row r="87">
          <cell r="B87" t="str">
            <v>Cossington</v>
          </cell>
          <cell r="C87">
            <v>286.95</v>
          </cell>
          <cell r="E87">
            <v>289.60000000000002</v>
          </cell>
          <cell r="F87">
            <v>11000</v>
          </cell>
        </row>
        <row r="88">
          <cell r="B88" t="str">
            <v>Durleigh</v>
          </cell>
          <cell r="C88">
            <v>229.86</v>
          </cell>
          <cell r="E88">
            <v>227.21</v>
          </cell>
          <cell r="F88">
            <v>10615</v>
          </cell>
        </row>
        <row r="89">
          <cell r="B89" t="str">
            <v>East Brent</v>
          </cell>
          <cell r="C89">
            <v>561.35</v>
          </cell>
          <cell r="E89">
            <v>569.26</v>
          </cell>
          <cell r="F89">
            <v>20895</v>
          </cell>
        </row>
        <row r="90">
          <cell r="B90" t="str">
            <v>East Huntspill</v>
          </cell>
          <cell r="C90">
            <v>471.95</v>
          </cell>
          <cell r="E90">
            <v>447.88</v>
          </cell>
          <cell r="F90">
            <v>34272</v>
          </cell>
        </row>
        <row r="91">
          <cell r="B91" t="str">
            <v>Edington</v>
          </cell>
          <cell r="C91">
            <v>169.56</v>
          </cell>
          <cell r="E91">
            <v>168.48</v>
          </cell>
          <cell r="F91">
            <v>7500</v>
          </cell>
        </row>
        <row r="92">
          <cell r="B92" t="str">
            <v>Enmore</v>
          </cell>
          <cell r="C92">
            <v>114.32</v>
          </cell>
          <cell r="E92">
            <v>117.17</v>
          </cell>
          <cell r="F92">
            <v>5253</v>
          </cell>
        </row>
        <row r="93">
          <cell r="B93" t="str">
            <v>Fiddington</v>
          </cell>
          <cell r="C93">
            <v>127.96</v>
          </cell>
          <cell r="E93">
            <v>125.63</v>
          </cell>
          <cell r="F93">
            <v>4300</v>
          </cell>
        </row>
        <row r="94">
          <cell r="B94" t="str">
            <v>Goathurst</v>
          </cell>
          <cell r="C94">
            <v>98.25</v>
          </cell>
          <cell r="E94">
            <v>98.47</v>
          </cell>
          <cell r="F94">
            <v>3381</v>
          </cell>
        </row>
        <row r="95">
          <cell r="B95" t="str">
            <v>Greinton</v>
          </cell>
          <cell r="C95">
            <v>70.25</v>
          </cell>
          <cell r="E95">
            <v>69.959999999999994</v>
          </cell>
          <cell r="F95">
            <v>0</v>
          </cell>
        </row>
        <row r="96">
          <cell r="B96" t="str">
            <v>Lympsham</v>
          </cell>
          <cell r="C96">
            <v>372.07</v>
          </cell>
          <cell r="E96">
            <v>374.46</v>
          </cell>
          <cell r="F96">
            <v>26000</v>
          </cell>
        </row>
        <row r="97">
          <cell r="B97" t="str">
            <v>Lyng</v>
          </cell>
          <cell r="C97">
            <v>122.4</v>
          </cell>
          <cell r="E97">
            <v>123.91</v>
          </cell>
          <cell r="F97">
            <v>4725</v>
          </cell>
        </row>
        <row r="98">
          <cell r="B98" t="str">
            <v>Mark</v>
          </cell>
          <cell r="C98">
            <v>590.09</v>
          </cell>
          <cell r="E98">
            <v>584.02</v>
          </cell>
          <cell r="F98">
            <v>18000</v>
          </cell>
        </row>
        <row r="99">
          <cell r="B99" t="str">
            <v>Middlezoy</v>
          </cell>
          <cell r="C99">
            <v>288.83</v>
          </cell>
          <cell r="E99">
            <v>282.2</v>
          </cell>
          <cell r="F99">
            <v>15800</v>
          </cell>
        </row>
        <row r="100">
          <cell r="B100" t="str">
            <v>Moorlinch</v>
          </cell>
          <cell r="C100">
            <v>111.38</v>
          </cell>
          <cell r="E100">
            <v>109.77</v>
          </cell>
          <cell r="F100">
            <v>0</v>
          </cell>
        </row>
        <row r="101">
          <cell r="B101" t="str">
            <v>Nether Stowey</v>
          </cell>
          <cell r="C101">
            <v>631.53</v>
          </cell>
          <cell r="E101">
            <v>629.01</v>
          </cell>
          <cell r="F101">
            <v>65466</v>
          </cell>
        </row>
        <row r="102">
          <cell r="B102" t="str">
            <v>North Petherton</v>
          </cell>
          <cell r="C102">
            <v>3716.92</v>
          </cell>
          <cell r="E102">
            <v>3654.91</v>
          </cell>
          <cell r="F102">
            <v>230000</v>
          </cell>
        </row>
        <row r="103">
          <cell r="B103" t="str">
            <v>Othery</v>
          </cell>
          <cell r="C103">
            <v>263.35000000000002</v>
          </cell>
          <cell r="E103">
            <v>265.01</v>
          </cell>
          <cell r="F103">
            <v>10500</v>
          </cell>
        </row>
        <row r="104">
          <cell r="B104" t="str">
            <v>Otterhampton</v>
          </cell>
          <cell r="C104">
            <v>310.43</v>
          </cell>
          <cell r="E104">
            <v>310.52999999999997</v>
          </cell>
          <cell r="F104">
            <v>26000</v>
          </cell>
        </row>
        <row r="105">
          <cell r="B105" t="str">
            <v>Over Stowey</v>
          </cell>
          <cell r="C105">
            <v>166.29</v>
          </cell>
          <cell r="E105">
            <v>168.95</v>
          </cell>
          <cell r="F105">
            <v>8000</v>
          </cell>
        </row>
        <row r="106">
          <cell r="B106" t="str">
            <v>Pawlett</v>
          </cell>
          <cell r="C106">
            <v>421.78</v>
          </cell>
          <cell r="E106">
            <v>425.57</v>
          </cell>
          <cell r="F106">
            <v>20000</v>
          </cell>
        </row>
        <row r="107">
          <cell r="B107" t="str">
            <v>Puriton</v>
          </cell>
          <cell r="C107">
            <v>860.42</v>
          </cell>
          <cell r="E107">
            <v>810.23</v>
          </cell>
          <cell r="F107">
            <v>64500</v>
          </cell>
        </row>
        <row r="108">
          <cell r="B108" t="str">
            <v>Shapwick</v>
          </cell>
          <cell r="C108">
            <v>205.45</v>
          </cell>
          <cell r="E108">
            <v>203.8</v>
          </cell>
          <cell r="F108">
            <v>11000</v>
          </cell>
        </row>
        <row r="109">
          <cell r="B109" t="str">
            <v>Shipham</v>
          </cell>
          <cell r="C109">
            <v>486.81</v>
          </cell>
          <cell r="E109">
            <v>494.81</v>
          </cell>
          <cell r="F109">
            <v>12695</v>
          </cell>
        </row>
        <row r="110">
          <cell r="B110" t="str">
            <v>Spaxton</v>
          </cell>
          <cell r="C110">
            <v>458.93</v>
          </cell>
          <cell r="E110">
            <v>460.03</v>
          </cell>
          <cell r="F110">
            <v>10153</v>
          </cell>
        </row>
        <row r="111">
          <cell r="B111" t="str">
            <v>Stawell</v>
          </cell>
          <cell r="C111">
            <v>173.18</v>
          </cell>
          <cell r="E111">
            <v>175.37</v>
          </cell>
          <cell r="F111">
            <v>5250</v>
          </cell>
        </row>
        <row r="112">
          <cell r="B112" t="str">
            <v>Stockland Bristol</v>
          </cell>
          <cell r="C112">
            <v>72.92</v>
          </cell>
          <cell r="E112">
            <v>73.680000000000007</v>
          </cell>
          <cell r="F112">
            <v>2166</v>
          </cell>
        </row>
        <row r="113">
          <cell r="B113" t="str">
            <v>Thurloxton</v>
          </cell>
          <cell r="C113">
            <v>75.66</v>
          </cell>
          <cell r="E113">
            <v>75.760000000000005</v>
          </cell>
          <cell r="F113">
            <v>4000</v>
          </cell>
        </row>
        <row r="114">
          <cell r="B114" t="str">
            <v>Weare</v>
          </cell>
          <cell r="C114">
            <v>296.64</v>
          </cell>
          <cell r="E114">
            <v>299.54000000000002</v>
          </cell>
          <cell r="F114">
            <v>6426</v>
          </cell>
        </row>
        <row r="115">
          <cell r="B115" t="str">
            <v>Wedmore</v>
          </cell>
          <cell r="C115">
            <v>1638.54</v>
          </cell>
          <cell r="E115">
            <v>1627.81</v>
          </cell>
          <cell r="F115">
            <v>96850</v>
          </cell>
        </row>
        <row r="116">
          <cell r="B116" t="str">
            <v>Wembdon</v>
          </cell>
          <cell r="C116">
            <v>1320.45</v>
          </cell>
          <cell r="E116">
            <v>1315.88</v>
          </cell>
          <cell r="F116">
            <v>110992</v>
          </cell>
        </row>
        <row r="117">
          <cell r="B117" t="str">
            <v>West Huntspill</v>
          </cell>
          <cell r="C117">
            <v>553.51</v>
          </cell>
          <cell r="E117">
            <v>515.82000000000005</v>
          </cell>
          <cell r="F117">
            <v>21000</v>
          </cell>
        </row>
        <row r="118">
          <cell r="B118" t="str">
            <v>Westonzoyland</v>
          </cell>
          <cell r="C118">
            <v>681.21</v>
          </cell>
          <cell r="E118">
            <v>678.93</v>
          </cell>
          <cell r="F118">
            <v>24441</v>
          </cell>
        </row>
        <row r="119">
          <cell r="B119" t="str">
            <v>Woolavington</v>
          </cell>
          <cell r="C119">
            <v>793.48</v>
          </cell>
          <cell r="E119">
            <v>767.16</v>
          </cell>
          <cell r="F119">
            <v>47000</v>
          </cell>
        </row>
        <row r="120">
          <cell r="B120" t="str">
            <v>Ash Priors</v>
          </cell>
          <cell r="C120">
            <v>82.39</v>
          </cell>
          <cell r="E120">
            <v>81.47</v>
          </cell>
          <cell r="F120">
            <v>0</v>
          </cell>
        </row>
        <row r="121">
          <cell r="B121" t="str">
            <v>Ashbrittle</v>
          </cell>
          <cell r="C121">
            <v>98.3</v>
          </cell>
          <cell r="E121">
            <v>93.96</v>
          </cell>
          <cell r="F121">
            <v>2300</v>
          </cell>
        </row>
        <row r="122">
          <cell r="B122" t="str">
            <v>Bathealton</v>
          </cell>
          <cell r="C122">
            <v>87.75</v>
          </cell>
          <cell r="E122">
            <v>83.17</v>
          </cell>
          <cell r="F122">
            <v>1200</v>
          </cell>
        </row>
        <row r="123">
          <cell r="B123" t="str">
            <v>Bicknoller</v>
          </cell>
          <cell r="C123">
            <v>213.45</v>
          </cell>
          <cell r="E123">
            <v>211.56</v>
          </cell>
          <cell r="F123">
            <v>7600</v>
          </cell>
        </row>
        <row r="124">
          <cell r="B124" t="str">
            <v>Bishops Hull</v>
          </cell>
          <cell r="C124">
            <v>1258.93</v>
          </cell>
          <cell r="E124">
            <v>1231.31</v>
          </cell>
          <cell r="F124">
            <v>37170</v>
          </cell>
        </row>
        <row r="125">
          <cell r="B125" t="str">
            <v>Bishops Lydeard/Cothelstone</v>
          </cell>
          <cell r="C125">
            <v>1283.7</v>
          </cell>
          <cell r="E125">
            <v>1236.6500000000001</v>
          </cell>
          <cell r="F125">
            <v>67595</v>
          </cell>
        </row>
        <row r="126">
          <cell r="B126" t="str">
            <v>Bradford on Tone</v>
          </cell>
          <cell r="C126">
            <v>308.51</v>
          </cell>
          <cell r="E126">
            <v>309.48</v>
          </cell>
          <cell r="F126">
            <v>10500</v>
          </cell>
        </row>
        <row r="127">
          <cell r="B127" t="str">
            <v>Brompton Ralph</v>
          </cell>
          <cell r="C127">
            <v>105.64</v>
          </cell>
          <cell r="E127">
            <v>103.66</v>
          </cell>
          <cell r="F127">
            <v>4369</v>
          </cell>
        </row>
        <row r="128">
          <cell r="B128" t="str">
            <v>Brompton Regis</v>
          </cell>
          <cell r="C128">
            <v>230.27</v>
          </cell>
          <cell r="E128">
            <v>227.22</v>
          </cell>
          <cell r="F128">
            <v>5750</v>
          </cell>
        </row>
        <row r="129">
          <cell r="B129" t="str">
            <v>Brushford</v>
          </cell>
          <cell r="C129">
            <v>243.6</v>
          </cell>
          <cell r="E129">
            <v>243.25</v>
          </cell>
          <cell r="F129">
            <v>21000</v>
          </cell>
        </row>
        <row r="130">
          <cell r="B130" t="str">
            <v>Burrowbridge</v>
          </cell>
          <cell r="C130">
            <v>208.98</v>
          </cell>
          <cell r="E130">
            <v>208.97</v>
          </cell>
          <cell r="F130">
            <v>8500</v>
          </cell>
        </row>
        <row r="131">
          <cell r="B131" t="str">
            <v>Carhampton</v>
          </cell>
          <cell r="C131">
            <v>372.7</v>
          </cell>
          <cell r="E131">
            <v>361.3</v>
          </cell>
          <cell r="F131">
            <v>21785</v>
          </cell>
        </row>
        <row r="132">
          <cell r="B132" t="str">
            <v>Cheddon Fitzpaine</v>
          </cell>
          <cell r="C132">
            <v>153.97999999999999</v>
          </cell>
          <cell r="E132">
            <v>140.04</v>
          </cell>
          <cell r="F132">
            <v>9262</v>
          </cell>
        </row>
        <row r="133">
          <cell r="B133" t="str">
            <v>Chipstable</v>
          </cell>
          <cell r="C133">
            <v>139.69999999999999</v>
          </cell>
          <cell r="E133">
            <v>137.25</v>
          </cell>
          <cell r="F133">
            <v>3250</v>
          </cell>
        </row>
        <row r="134">
          <cell r="B134" t="str">
            <v>Churchstanton</v>
          </cell>
          <cell r="C134">
            <v>387.6</v>
          </cell>
          <cell r="E134">
            <v>383.57</v>
          </cell>
          <cell r="F134">
            <v>13395</v>
          </cell>
        </row>
        <row r="135">
          <cell r="B135" t="str">
            <v>Clatworthy</v>
          </cell>
          <cell r="C135">
            <v>40.42</v>
          </cell>
          <cell r="E135">
            <v>40.64</v>
          </cell>
          <cell r="F135">
            <v>1000</v>
          </cell>
        </row>
        <row r="136">
          <cell r="B136" t="str">
            <v>Combe Florey</v>
          </cell>
          <cell r="C136">
            <v>122.87</v>
          </cell>
          <cell r="E136">
            <v>121.58</v>
          </cell>
          <cell r="F136">
            <v>4000</v>
          </cell>
        </row>
        <row r="137">
          <cell r="B137" t="str">
            <v>Corfe</v>
          </cell>
          <cell r="C137">
            <v>141.91999999999999</v>
          </cell>
          <cell r="E137">
            <v>141.25</v>
          </cell>
          <cell r="F137">
            <v>5775</v>
          </cell>
        </row>
        <row r="138">
          <cell r="B138" t="str">
            <v>Cotford St Luke</v>
          </cell>
          <cell r="C138">
            <v>874.67</v>
          </cell>
          <cell r="E138">
            <v>844.58</v>
          </cell>
          <cell r="F138">
            <v>45745</v>
          </cell>
        </row>
        <row r="139">
          <cell r="B139" t="str">
            <v>Creech St Michael</v>
          </cell>
          <cell r="C139">
            <v>1167.07</v>
          </cell>
          <cell r="E139">
            <v>1149.9100000000001</v>
          </cell>
          <cell r="F139">
            <v>74528</v>
          </cell>
        </row>
        <row r="140">
          <cell r="B140" t="str">
            <v>Crowcombe</v>
          </cell>
          <cell r="C140">
            <v>241.33</v>
          </cell>
          <cell r="E140">
            <v>235.81</v>
          </cell>
          <cell r="F140">
            <v>12300</v>
          </cell>
        </row>
        <row r="141">
          <cell r="B141" t="str">
            <v>Cutcombe</v>
          </cell>
          <cell r="C141">
            <v>183.28</v>
          </cell>
          <cell r="E141">
            <v>180.88</v>
          </cell>
          <cell r="F141">
            <v>11200</v>
          </cell>
        </row>
        <row r="142">
          <cell r="B142" t="str">
            <v>Dulverton</v>
          </cell>
          <cell r="C142">
            <v>637.45000000000005</v>
          </cell>
          <cell r="E142">
            <v>630.26</v>
          </cell>
          <cell r="F142">
            <v>85833</v>
          </cell>
        </row>
        <row r="143">
          <cell r="B143" t="str">
            <v>Dunster</v>
          </cell>
          <cell r="C143">
            <v>494.69</v>
          </cell>
          <cell r="E143">
            <v>478.11</v>
          </cell>
          <cell r="F143">
            <v>28000</v>
          </cell>
        </row>
        <row r="144">
          <cell r="B144" t="str">
            <v>Durston</v>
          </cell>
          <cell r="C144">
            <v>58.02</v>
          </cell>
          <cell r="E144">
            <v>55.92</v>
          </cell>
          <cell r="F144">
            <v>1677.6</v>
          </cell>
        </row>
        <row r="145">
          <cell r="B145" t="str">
            <v>East Quantoxhead</v>
          </cell>
          <cell r="C145">
            <v>46.17</v>
          </cell>
          <cell r="E145">
            <v>40.56</v>
          </cell>
          <cell r="F145">
            <v>0</v>
          </cell>
        </row>
        <row r="146">
          <cell r="B146" t="str">
            <v>Elworthy</v>
          </cell>
          <cell r="C146">
            <v>32.630000000000003</v>
          </cell>
          <cell r="E146">
            <v>32.78</v>
          </cell>
          <cell r="F146">
            <v>0</v>
          </cell>
        </row>
        <row r="147">
          <cell r="B147" t="str">
            <v>Exford</v>
          </cell>
          <cell r="C147">
            <v>193.35</v>
          </cell>
          <cell r="E147">
            <v>196.51</v>
          </cell>
          <cell r="F147">
            <v>12500</v>
          </cell>
        </row>
        <row r="148">
          <cell r="B148" t="str">
            <v>Exmoor</v>
          </cell>
          <cell r="C148">
            <v>73.23</v>
          </cell>
          <cell r="E148">
            <v>75.94</v>
          </cell>
          <cell r="F148">
            <v>3328</v>
          </cell>
        </row>
        <row r="149">
          <cell r="B149" t="str">
            <v>Exton</v>
          </cell>
          <cell r="C149">
            <v>98.21</v>
          </cell>
          <cell r="E149">
            <v>97.24</v>
          </cell>
          <cell r="F149">
            <v>4200</v>
          </cell>
        </row>
        <row r="150">
          <cell r="B150" t="str">
            <v>Fitzhead</v>
          </cell>
          <cell r="C150">
            <v>126.83</v>
          </cell>
          <cell r="E150">
            <v>122.69</v>
          </cell>
          <cell r="F150">
            <v>5500</v>
          </cell>
        </row>
        <row r="151">
          <cell r="B151" t="str">
            <v>Halse</v>
          </cell>
          <cell r="C151">
            <v>150.99</v>
          </cell>
          <cell r="E151">
            <v>151.93</v>
          </cell>
          <cell r="F151">
            <v>4100</v>
          </cell>
        </row>
        <row r="152">
          <cell r="B152" t="str">
            <v>Hatch Beauchamp</v>
          </cell>
          <cell r="C152">
            <v>260.83999999999997</v>
          </cell>
          <cell r="E152">
            <v>257.93</v>
          </cell>
          <cell r="F152">
            <v>6000</v>
          </cell>
        </row>
        <row r="153">
          <cell r="B153" t="str">
            <v>Holford</v>
          </cell>
          <cell r="C153">
            <v>129.82</v>
          </cell>
          <cell r="E153">
            <v>136.41</v>
          </cell>
          <cell r="F153">
            <v>7550</v>
          </cell>
        </row>
        <row r="154">
          <cell r="B154" t="str">
            <v>Huish Champflower</v>
          </cell>
          <cell r="C154">
            <v>115.37</v>
          </cell>
          <cell r="E154">
            <v>115.76</v>
          </cell>
          <cell r="F154">
            <v>3500</v>
          </cell>
        </row>
        <row r="155">
          <cell r="B155" t="str">
            <v>Kilve</v>
          </cell>
          <cell r="C155">
            <v>190.5</v>
          </cell>
          <cell r="E155">
            <v>189.67</v>
          </cell>
          <cell r="F155">
            <v>8600</v>
          </cell>
        </row>
        <row r="156">
          <cell r="B156" t="str">
            <v>Kingston St Mary</v>
          </cell>
          <cell r="C156">
            <v>496.34</v>
          </cell>
          <cell r="E156">
            <v>485.28</v>
          </cell>
          <cell r="F156">
            <v>14020</v>
          </cell>
        </row>
        <row r="157">
          <cell r="B157" t="str">
            <v>Langford Budville</v>
          </cell>
          <cell r="C157">
            <v>240.59</v>
          </cell>
          <cell r="E157">
            <v>242.71</v>
          </cell>
          <cell r="F157">
            <v>8690</v>
          </cell>
        </row>
        <row r="158">
          <cell r="B158" t="str">
            <v>Luccombe</v>
          </cell>
          <cell r="C158">
            <v>71.41</v>
          </cell>
          <cell r="E158">
            <v>69.67</v>
          </cell>
          <cell r="F158">
            <v>3500</v>
          </cell>
        </row>
        <row r="159">
          <cell r="B159" t="str">
            <v>Luxborough</v>
          </cell>
          <cell r="C159">
            <v>99.85</v>
          </cell>
          <cell r="E159">
            <v>101.01</v>
          </cell>
          <cell r="F159">
            <v>2990</v>
          </cell>
        </row>
        <row r="160">
          <cell r="B160" t="str">
            <v>Lydeard St Lawrence/Tolland</v>
          </cell>
          <cell r="C160">
            <v>226.65</v>
          </cell>
          <cell r="E160">
            <v>221.14</v>
          </cell>
          <cell r="F160">
            <v>4478</v>
          </cell>
        </row>
        <row r="161">
          <cell r="B161" t="str">
            <v>Milverton</v>
          </cell>
          <cell r="C161">
            <v>592.54</v>
          </cell>
          <cell r="E161">
            <v>588.64</v>
          </cell>
          <cell r="F161">
            <v>31500</v>
          </cell>
        </row>
        <row r="162">
          <cell r="B162" t="str">
            <v>Minehead</v>
          </cell>
          <cell r="C162">
            <v>4342.84</v>
          </cell>
          <cell r="E162">
            <v>4271.9799999999996</v>
          </cell>
          <cell r="F162">
            <v>759293</v>
          </cell>
        </row>
        <row r="163">
          <cell r="B163" t="str">
            <v>Monksilver</v>
          </cell>
          <cell r="C163">
            <v>61.27</v>
          </cell>
          <cell r="E163">
            <v>60.74</v>
          </cell>
          <cell r="F163">
            <v>2500</v>
          </cell>
        </row>
        <row r="164">
          <cell r="B164" t="str">
            <v>Neroche</v>
          </cell>
          <cell r="C164">
            <v>249.33</v>
          </cell>
          <cell r="E164">
            <v>247.16</v>
          </cell>
          <cell r="F164">
            <v>11000</v>
          </cell>
        </row>
        <row r="165">
          <cell r="B165" t="str">
            <v>Nettlecombe</v>
          </cell>
          <cell r="C165">
            <v>95.87</v>
          </cell>
          <cell r="E165">
            <v>95.81</v>
          </cell>
          <cell r="F165">
            <v>2300</v>
          </cell>
        </row>
        <row r="166">
          <cell r="B166" t="str">
            <v>North Curry</v>
          </cell>
          <cell r="C166">
            <v>779.65</v>
          </cell>
          <cell r="E166">
            <v>770.15</v>
          </cell>
          <cell r="F166">
            <v>20000</v>
          </cell>
        </row>
        <row r="167">
          <cell r="B167" t="str">
            <v>Norton Fitzwarren</v>
          </cell>
          <cell r="C167">
            <v>1344.31</v>
          </cell>
          <cell r="E167">
            <v>1309.76</v>
          </cell>
          <cell r="F167">
            <v>38000</v>
          </cell>
        </row>
        <row r="168">
          <cell r="B168" t="str">
            <v>Nynehead</v>
          </cell>
          <cell r="C168">
            <v>181.95</v>
          </cell>
          <cell r="E168">
            <v>178.66</v>
          </cell>
          <cell r="F168">
            <v>6725</v>
          </cell>
        </row>
        <row r="169">
          <cell r="B169" t="str">
            <v>Oake</v>
          </cell>
          <cell r="C169">
            <v>333.89</v>
          </cell>
          <cell r="E169">
            <v>327.47000000000003</v>
          </cell>
          <cell r="F169">
            <v>7600</v>
          </cell>
        </row>
        <row r="170">
          <cell r="B170" t="str">
            <v>Oare</v>
          </cell>
          <cell r="C170">
            <v>38.79</v>
          </cell>
          <cell r="E170">
            <v>37.909999999999997</v>
          </cell>
          <cell r="F170">
            <v>0</v>
          </cell>
        </row>
        <row r="171">
          <cell r="B171" t="str">
            <v>Old Cleeve</v>
          </cell>
          <cell r="C171">
            <v>687.62</v>
          </cell>
          <cell r="E171">
            <v>685.24</v>
          </cell>
          <cell r="F171">
            <v>31850</v>
          </cell>
        </row>
        <row r="172">
          <cell r="B172" t="str">
            <v>Otterford</v>
          </cell>
          <cell r="C172">
            <v>194.15</v>
          </cell>
          <cell r="E172">
            <v>193.48</v>
          </cell>
          <cell r="F172">
            <v>0</v>
          </cell>
        </row>
        <row r="173">
          <cell r="B173" t="str">
            <v>Pitminster</v>
          </cell>
          <cell r="C173">
            <v>498.94</v>
          </cell>
          <cell r="E173">
            <v>495.54</v>
          </cell>
          <cell r="F173">
            <v>9500</v>
          </cell>
        </row>
        <row r="174">
          <cell r="B174" t="str">
            <v>Porlock</v>
          </cell>
          <cell r="C174">
            <v>698.3</v>
          </cell>
          <cell r="E174">
            <v>684.46</v>
          </cell>
          <cell r="F174">
            <v>81687</v>
          </cell>
        </row>
        <row r="175">
          <cell r="B175" t="str">
            <v>Ruishton/Thornfalcon</v>
          </cell>
          <cell r="C175">
            <v>584.38</v>
          </cell>
          <cell r="E175">
            <v>583.78</v>
          </cell>
          <cell r="F175">
            <v>37000</v>
          </cell>
        </row>
        <row r="176">
          <cell r="B176" t="str">
            <v>Sampford Arundel</v>
          </cell>
          <cell r="C176">
            <v>134.72999999999999</v>
          </cell>
          <cell r="E176">
            <v>134.91999999999999</v>
          </cell>
          <cell r="F176">
            <v>7500</v>
          </cell>
        </row>
        <row r="177">
          <cell r="B177" t="str">
            <v>Sampford Brett</v>
          </cell>
          <cell r="C177">
            <v>151.75</v>
          </cell>
          <cell r="E177">
            <v>149.65</v>
          </cell>
          <cell r="F177">
            <v>3700</v>
          </cell>
        </row>
        <row r="178">
          <cell r="B178" t="str">
            <v>Selworthy and Minehead Without</v>
          </cell>
          <cell r="C178">
            <v>234.81</v>
          </cell>
          <cell r="E178">
            <v>231.58</v>
          </cell>
          <cell r="F178">
            <v>12000</v>
          </cell>
        </row>
        <row r="179">
          <cell r="B179" t="str">
            <v>Skilgate</v>
          </cell>
          <cell r="C179">
            <v>50.54</v>
          </cell>
          <cell r="E179">
            <v>51.91</v>
          </cell>
          <cell r="F179">
            <v>0</v>
          </cell>
        </row>
        <row r="180">
          <cell r="B180" t="str">
            <v>Stawley</v>
          </cell>
          <cell r="C180">
            <v>157.47999999999999</v>
          </cell>
          <cell r="E180">
            <v>153.87</v>
          </cell>
          <cell r="F180">
            <v>2969</v>
          </cell>
        </row>
        <row r="181">
          <cell r="B181" t="str">
            <v>Stogumber</v>
          </cell>
          <cell r="C181">
            <v>334.04</v>
          </cell>
          <cell r="E181">
            <v>326.64999999999998</v>
          </cell>
          <cell r="F181">
            <v>21350</v>
          </cell>
        </row>
        <row r="182">
          <cell r="B182" t="str">
            <v>Stogursey</v>
          </cell>
          <cell r="C182">
            <v>515.32000000000005</v>
          </cell>
          <cell r="E182">
            <v>505.81</v>
          </cell>
          <cell r="F182">
            <v>31425</v>
          </cell>
        </row>
        <row r="183">
          <cell r="B183" t="str">
            <v>Stoke St Gregory</v>
          </cell>
          <cell r="C183">
            <v>413.6</v>
          </cell>
          <cell r="E183">
            <v>410.74</v>
          </cell>
          <cell r="F183">
            <v>19550</v>
          </cell>
        </row>
        <row r="184">
          <cell r="B184" t="str">
            <v>Stoke St Mary</v>
          </cell>
          <cell r="C184">
            <v>212.62</v>
          </cell>
          <cell r="E184">
            <v>215.4</v>
          </cell>
          <cell r="F184">
            <v>5500</v>
          </cell>
        </row>
        <row r="185">
          <cell r="B185" t="str">
            <v>Stringston</v>
          </cell>
          <cell r="C185">
            <v>43.6</v>
          </cell>
          <cell r="E185">
            <v>44.81</v>
          </cell>
          <cell r="F185">
            <v>0</v>
          </cell>
        </row>
        <row r="186">
          <cell r="B186" t="str">
            <v>Taunton</v>
          </cell>
          <cell r="C186">
            <v>19728.07</v>
          </cell>
          <cell r="E186">
            <v>19276.13</v>
          </cell>
          <cell r="F186">
            <v>2114000</v>
          </cell>
        </row>
        <row r="187">
          <cell r="B187" t="str">
            <v>Timberscombe</v>
          </cell>
          <cell r="C187">
            <v>160.05000000000001</v>
          </cell>
          <cell r="E187">
            <v>159.61000000000001</v>
          </cell>
          <cell r="F187">
            <v>9795</v>
          </cell>
        </row>
        <row r="188">
          <cell r="B188" t="str">
            <v>Treborough</v>
          </cell>
          <cell r="C188">
            <v>29.83</v>
          </cell>
          <cell r="E188">
            <v>28.96</v>
          </cell>
          <cell r="F188">
            <v>0</v>
          </cell>
        </row>
        <row r="189">
          <cell r="B189" t="str">
            <v>Trull</v>
          </cell>
          <cell r="C189">
            <v>1026.44</v>
          </cell>
          <cell r="E189">
            <v>977.79</v>
          </cell>
          <cell r="F189">
            <v>33000</v>
          </cell>
        </row>
        <row r="190">
          <cell r="B190" t="str">
            <v>Upton</v>
          </cell>
          <cell r="C190">
            <v>78.55</v>
          </cell>
          <cell r="E190">
            <v>79.03</v>
          </cell>
          <cell r="F190">
            <v>300</v>
          </cell>
        </row>
        <row r="191">
          <cell r="B191" t="str">
            <v>Watchet</v>
          </cell>
          <cell r="C191">
            <v>1289.68</v>
          </cell>
          <cell r="E191">
            <v>1253.2</v>
          </cell>
          <cell r="F191">
            <v>192980</v>
          </cell>
        </row>
        <row r="192">
          <cell r="B192" t="str">
            <v>Wellington</v>
          </cell>
          <cell r="C192">
            <v>5685.33</v>
          </cell>
          <cell r="E192">
            <v>5508.96</v>
          </cell>
          <cell r="F192">
            <v>466332</v>
          </cell>
        </row>
        <row r="193">
          <cell r="B193" t="str">
            <v>Wellington Without</v>
          </cell>
          <cell r="C193">
            <v>312.10000000000002</v>
          </cell>
          <cell r="E193">
            <v>309.86</v>
          </cell>
          <cell r="F193">
            <v>8000</v>
          </cell>
        </row>
        <row r="194">
          <cell r="B194" t="str">
            <v>West Bagborough</v>
          </cell>
          <cell r="C194">
            <v>176.72</v>
          </cell>
          <cell r="E194">
            <v>174.79</v>
          </cell>
          <cell r="F194">
            <v>3500</v>
          </cell>
        </row>
        <row r="195">
          <cell r="B195" t="str">
            <v>West Buckland</v>
          </cell>
          <cell r="C195">
            <v>447.61</v>
          </cell>
          <cell r="E195">
            <v>444.04</v>
          </cell>
          <cell r="F195">
            <v>10888</v>
          </cell>
        </row>
        <row r="196">
          <cell r="B196" t="str">
            <v>West Hatch</v>
          </cell>
          <cell r="C196">
            <v>134.57</v>
          </cell>
          <cell r="E196">
            <v>130.94999999999999</v>
          </cell>
          <cell r="F196">
            <v>3350</v>
          </cell>
        </row>
        <row r="197">
          <cell r="B197" t="str">
            <v>West Monkton</v>
          </cell>
          <cell r="C197">
            <v>2204.4</v>
          </cell>
          <cell r="E197">
            <v>2183.16</v>
          </cell>
          <cell r="F197">
            <v>121710</v>
          </cell>
        </row>
        <row r="198">
          <cell r="B198" t="str">
            <v>West Quantoxhead</v>
          </cell>
          <cell r="C198">
            <v>168.46</v>
          </cell>
          <cell r="E198">
            <v>168.81</v>
          </cell>
          <cell r="F198">
            <v>3125</v>
          </cell>
        </row>
        <row r="199">
          <cell r="B199" t="str">
            <v>Williton</v>
          </cell>
          <cell r="C199">
            <v>972.66</v>
          </cell>
          <cell r="E199">
            <v>945.64</v>
          </cell>
          <cell r="F199">
            <v>112000</v>
          </cell>
        </row>
        <row r="200">
          <cell r="B200" t="str">
            <v>Winsford</v>
          </cell>
          <cell r="C200">
            <v>163.75</v>
          </cell>
          <cell r="E200">
            <v>166.5</v>
          </cell>
          <cell r="F200">
            <v>7500</v>
          </cell>
        </row>
        <row r="201">
          <cell r="B201" t="str">
            <v>Withycombe</v>
          </cell>
          <cell r="C201">
            <v>124.35</v>
          </cell>
          <cell r="E201">
            <v>123.55</v>
          </cell>
          <cell r="F201">
            <v>9000</v>
          </cell>
        </row>
        <row r="202">
          <cell r="B202" t="str">
            <v>Withypool and Hawkridge</v>
          </cell>
          <cell r="C202">
            <v>118.72</v>
          </cell>
          <cell r="E202">
            <v>119.88</v>
          </cell>
          <cell r="F202">
            <v>3500</v>
          </cell>
        </row>
        <row r="203">
          <cell r="B203" t="str">
            <v>Wiveliscombe</v>
          </cell>
          <cell r="C203">
            <v>1255.44</v>
          </cell>
          <cell r="E203">
            <v>1195.33</v>
          </cell>
          <cell r="F203">
            <v>54500</v>
          </cell>
        </row>
        <row r="204">
          <cell r="B204" t="str">
            <v>Wootton Courtenay</v>
          </cell>
          <cell r="C204">
            <v>164.65</v>
          </cell>
          <cell r="E204">
            <v>166.36</v>
          </cell>
          <cell r="F204">
            <v>5600</v>
          </cell>
        </row>
        <row r="205">
          <cell r="B205" t="str">
            <v>Abbas and Templecombe</v>
          </cell>
          <cell r="C205">
            <v>604.57000000000005</v>
          </cell>
          <cell r="E205">
            <v>591.79999999999995</v>
          </cell>
          <cell r="F205">
            <v>31705</v>
          </cell>
        </row>
        <row r="206">
          <cell r="B206" t="str">
            <v>Aller</v>
          </cell>
          <cell r="C206">
            <v>170.38</v>
          </cell>
          <cell r="E206">
            <v>170.43</v>
          </cell>
          <cell r="F206">
            <v>11470</v>
          </cell>
        </row>
        <row r="207">
          <cell r="B207" t="str">
            <v>Ansford</v>
          </cell>
          <cell r="C207">
            <v>607.87</v>
          </cell>
          <cell r="E207">
            <v>567.48</v>
          </cell>
          <cell r="F207">
            <v>46432</v>
          </cell>
        </row>
        <row r="208">
          <cell r="B208" t="str">
            <v>Ash</v>
          </cell>
          <cell r="C208">
            <v>278.52</v>
          </cell>
          <cell r="E208">
            <v>272.86</v>
          </cell>
          <cell r="F208">
            <v>43723</v>
          </cell>
        </row>
        <row r="209">
          <cell r="B209" t="str">
            <v xml:space="preserve">Ashill </v>
          </cell>
          <cell r="C209">
            <v>255.26</v>
          </cell>
          <cell r="E209">
            <v>251.94</v>
          </cell>
          <cell r="F209">
            <v>6708</v>
          </cell>
        </row>
        <row r="210">
          <cell r="B210" t="str">
            <v>Babcary</v>
          </cell>
          <cell r="C210">
            <v>123.28</v>
          </cell>
          <cell r="E210">
            <v>120.03</v>
          </cell>
          <cell r="F210">
            <v>4317</v>
          </cell>
        </row>
        <row r="211">
          <cell r="B211" t="str">
            <v>Barrington</v>
          </cell>
          <cell r="C211">
            <v>206.34</v>
          </cell>
          <cell r="E211">
            <v>204.06</v>
          </cell>
          <cell r="F211">
            <v>20171</v>
          </cell>
        </row>
        <row r="212">
          <cell r="B212" t="str">
            <v>Barton St. David</v>
          </cell>
          <cell r="C212">
            <v>241.97</v>
          </cell>
          <cell r="E212">
            <v>237.32</v>
          </cell>
          <cell r="F212">
            <v>10651</v>
          </cell>
        </row>
        <row r="213">
          <cell r="B213" t="str">
            <v>Barwick &amp; Stoford</v>
          </cell>
          <cell r="C213">
            <v>402.9</v>
          </cell>
          <cell r="E213">
            <v>402.89</v>
          </cell>
          <cell r="F213">
            <v>49831</v>
          </cell>
        </row>
        <row r="214">
          <cell r="B214" t="str">
            <v>Beercrocombe</v>
          </cell>
          <cell r="C214">
            <v>65.91</v>
          </cell>
          <cell r="E214">
            <v>66.06</v>
          </cell>
          <cell r="F214">
            <v>1660</v>
          </cell>
        </row>
        <row r="215">
          <cell r="B215" t="str">
            <v>Bratton Seymour</v>
          </cell>
          <cell r="C215">
            <v>55.6</v>
          </cell>
          <cell r="E215">
            <v>54.94</v>
          </cell>
          <cell r="F215">
            <v>0</v>
          </cell>
        </row>
        <row r="216">
          <cell r="B216" t="str">
            <v>Brewham</v>
          </cell>
          <cell r="C216">
            <v>204.49</v>
          </cell>
          <cell r="E216">
            <v>202.44</v>
          </cell>
          <cell r="F216">
            <v>4000</v>
          </cell>
        </row>
        <row r="217">
          <cell r="B217" t="str">
            <v>Broadway</v>
          </cell>
          <cell r="C217">
            <v>362.15</v>
          </cell>
          <cell r="E217">
            <v>356.6</v>
          </cell>
          <cell r="F217">
            <v>10500</v>
          </cell>
        </row>
        <row r="218">
          <cell r="B218" t="str">
            <v>Bruton</v>
          </cell>
          <cell r="C218">
            <v>982.47</v>
          </cell>
          <cell r="E218">
            <v>975.12</v>
          </cell>
          <cell r="F218">
            <v>160616</v>
          </cell>
        </row>
        <row r="219">
          <cell r="B219" t="str">
            <v>Brympton</v>
          </cell>
          <cell r="C219">
            <v>2916.09</v>
          </cell>
          <cell r="E219">
            <v>2822.34</v>
          </cell>
          <cell r="F219">
            <v>74319</v>
          </cell>
        </row>
        <row r="220">
          <cell r="B220" t="str">
            <v>Buckland St. Mary</v>
          </cell>
          <cell r="C220">
            <v>238.07</v>
          </cell>
          <cell r="E220">
            <v>232.43</v>
          </cell>
          <cell r="F220">
            <v>9000</v>
          </cell>
        </row>
        <row r="221">
          <cell r="B221" t="str">
            <v>Alford (Cary Moor)</v>
          </cell>
          <cell r="C221">
            <v>47.12</v>
          </cell>
          <cell r="E221">
            <v>44.78</v>
          </cell>
          <cell r="F221">
            <v>1847</v>
          </cell>
        </row>
        <row r="222">
          <cell r="B222" t="str">
            <v>Lovington (Cary Moor)</v>
          </cell>
          <cell r="C222">
            <v>95.95</v>
          </cell>
          <cell r="E222">
            <v>95.78</v>
          </cell>
          <cell r="F222">
            <v>3950</v>
          </cell>
        </row>
        <row r="223">
          <cell r="B223" t="str">
            <v>North Barrow (Cary Moor)</v>
          </cell>
          <cell r="C223">
            <v>67.86</v>
          </cell>
          <cell r="E223">
            <v>65.11</v>
          </cell>
          <cell r="F223">
            <v>2686</v>
          </cell>
        </row>
        <row r="224">
          <cell r="B224" t="str">
            <v>South Barrow (Cary Moor)</v>
          </cell>
          <cell r="C224">
            <v>78.08</v>
          </cell>
          <cell r="E224">
            <v>76.77</v>
          </cell>
          <cell r="F224">
            <v>3167</v>
          </cell>
        </row>
        <row r="225">
          <cell r="B225" t="str">
            <v>Castle Cary</v>
          </cell>
          <cell r="C225">
            <v>873.24</v>
          </cell>
          <cell r="E225">
            <v>851.11</v>
          </cell>
          <cell r="F225">
            <v>201350</v>
          </cell>
        </row>
        <row r="226">
          <cell r="B226" t="str">
            <v>Chaffcombe</v>
          </cell>
          <cell r="C226">
            <v>110.91</v>
          </cell>
          <cell r="E226">
            <v>103.01</v>
          </cell>
          <cell r="F226">
            <v>3000</v>
          </cell>
        </row>
        <row r="227">
          <cell r="B227" t="str">
            <v>Chard Town</v>
          </cell>
          <cell r="C227">
            <v>4582</v>
          </cell>
          <cell r="E227">
            <v>4479.45</v>
          </cell>
          <cell r="F227">
            <v>775334</v>
          </cell>
        </row>
        <row r="228">
          <cell r="B228" t="str">
            <v>Charlton Horethorne</v>
          </cell>
          <cell r="C228">
            <v>301.94</v>
          </cell>
          <cell r="E228">
            <v>291.73</v>
          </cell>
          <cell r="F228">
            <v>9288</v>
          </cell>
        </row>
        <row r="229">
          <cell r="B229" t="str">
            <v>Charltons (The)</v>
          </cell>
          <cell r="C229">
            <v>434.6</v>
          </cell>
          <cell r="E229">
            <v>438.47</v>
          </cell>
          <cell r="F229">
            <v>24000</v>
          </cell>
        </row>
        <row r="230">
          <cell r="B230" t="str">
            <v>Charlton Musgrove</v>
          </cell>
          <cell r="C230">
            <v>204.19</v>
          </cell>
          <cell r="E230">
            <v>205.14</v>
          </cell>
          <cell r="F230">
            <v>7600</v>
          </cell>
        </row>
        <row r="231">
          <cell r="B231" t="str">
            <v>Chillington</v>
          </cell>
          <cell r="C231">
            <v>58.4</v>
          </cell>
          <cell r="E231">
            <v>58.7</v>
          </cell>
          <cell r="F231">
            <v>160</v>
          </cell>
        </row>
        <row r="232">
          <cell r="B232" t="str">
            <v>Chilthorne Domer</v>
          </cell>
          <cell r="C232">
            <v>200.47</v>
          </cell>
          <cell r="E232">
            <v>200</v>
          </cell>
          <cell r="F232">
            <v>9500</v>
          </cell>
        </row>
        <row r="233">
          <cell r="B233" t="str">
            <v>Chilton Cantelo &amp; Ashington</v>
          </cell>
          <cell r="C233">
            <v>48.32</v>
          </cell>
          <cell r="E233">
            <v>49.3</v>
          </cell>
          <cell r="F233">
            <v>0</v>
          </cell>
        </row>
        <row r="234">
          <cell r="B234" t="str">
            <v>Chiselborough</v>
          </cell>
          <cell r="C234">
            <v>146.71</v>
          </cell>
          <cell r="E234">
            <v>149.79</v>
          </cell>
          <cell r="F234">
            <v>8000</v>
          </cell>
        </row>
        <row r="235">
          <cell r="B235" t="str">
            <v>Closworth</v>
          </cell>
          <cell r="C235">
            <v>92.69</v>
          </cell>
          <cell r="E235">
            <v>92.69</v>
          </cell>
          <cell r="F235">
            <v>0</v>
          </cell>
        </row>
        <row r="236">
          <cell r="B236" t="str">
            <v>Combe St. Nicholas</v>
          </cell>
          <cell r="C236">
            <v>608.96</v>
          </cell>
          <cell r="E236">
            <v>602.13</v>
          </cell>
          <cell r="F236">
            <v>20000</v>
          </cell>
        </row>
        <row r="237">
          <cell r="B237" t="str">
            <v>Compton Dundon</v>
          </cell>
          <cell r="C237">
            <v>328.45</v>
          </cell>
          <cell r="E237">
            <v>328.07</v>
          </cell>
          <cell r="F237">
            <v>42400</v>
          </cell>
        </row>
        <row r="238">
          <cell r="B238" t="str">
            <v>Compton Pauncefoot &amp; Blackford</v>
          </cell>
          <cell r="C238">
            <v>88.28</v>
          </cell>
          <cell r="E238">
            <v>88.05</v>
          </cell>
          <cell r="F238">
            <v>1850</v>
          </cell>
        </row>
        <row r="239">
          <cell r="B239" t="str">
            <v>Corton Denham</v>
          </cell>
          <cell r="C239">
            <v>122.89</v>
          </cell>
          <cell r="E239">
            <v>120.4</v>
          </cell>
          <cell r="F239">
            <v>4850</v>
          </cell>
        </row>
        <row r="240">
          <cell r="B240" t="str">
            <v>Crewkerne Town</v>
          </cell>
          <cell r="C240">
            <v>2546.69</v>
          </cell>
          <cell r="E240">
            <v>2518.38</v>
          </cell>
          <cell r="F240">
            <v>527656</v>
          </cell>
        </row>
        <row r="241">
          <cell r="B241" t="str">
            <v>Cricket St. Thomas</v>
          </cell>
          <cell r="C241">
            <v>40.880000000000003</v>
          </cell>
          <cell r="E241">
            <v>39.81</v>
          </cell>
          <cell r="F241">
            <v>0</v>
          </cell>
        </row>
        <row r="242">
          <cell r="B242" t="str">
            <v>Cucklington</v>
          </cell>
          <cell r="C242">
            <v>97.85</v>
          </cell>
          <cell r="E242">
            <v>97.62</v>
          </cell>
          <cell r="F242">
            <v>2030</v>
          </cell>
        </row>
        <row r="243">
          <cell r="B243" t="str">
            <v>Cudworth</v>
          </cell>
          <cell r="C243">
            <v>29.55</v>
          </cell>
          <cell r="E243">
            <v>30.97</v>
          </cell>
          <cell r="F243">
            <v>0</v>
          </cell>
        </row>
        <row r="244">
          <cell r="B244" t="str">
            <v>Curry Mallet</v>
          </cell>
          <cell r="C244">
            <v>137.6</v>
          </cell>
          <cell r="E244">
            <v>140.56</v>
          </cell>
          <cell r="F244">
            <v>7298</v>
          </cell>
        </row>
        <row r="245">
          <cell r="B245" t="str">
            <v>Curry Rivel</v>
          </cell>
          <cell r="C245">
            <v>989.85</v>
          </cell>
          <cell r="E245">
            <v>977.47</v>
          </cell>
          <cell r="F245">
            <v>61500</v>
          </cell>
        </row>
        <row r="246">
          <cell r="B246" t="str">
            <v>Dinnington</v>
          </cell>
          <cell r="C246">
            <v>31.29</v>
          </cell>
          <cell r="E246">
            <v>29.99</v>
          </cell>
          <cell r="F246">
            <v>0</v>
          </cell>
        </row>
        <row r="247">
          <cell r="B247" t="str">
            <v>Donyatt</v>
          </cell>
          <cell r="C247">
            <v>169.77</v>
          </cell>
          <cell r="E247">
            <v>166.35</v>
          </cell>
          <cell r="F247">
            <v>11600</v>
          </cell>
        </row>
        <row r="248">
          <cell r="B248" t="str">
            <v>Dowlish Wake</v>
          </cell>
          <cell r="C248">
            <v>139.05000000000001</v>
          </cell>
          <cell r="E248">
            <v>136.65</v>
          </cell>
          <cell r="F248">
            <v>4000</v>
          </cell>
        </row>
        <row r="249">
          <cell r="B249" t="str">
            <v>Drayton</v>
          </cell>
          <cell r="C249">
            <v>189.57</v>
          </cell>
          <cell r="E249">
            <v>184.04</v>
          </cell>
          <cell r="F249">
            <v>8785</v>
          </cell>
        </row>
        <row r="250">
          <cell r="B250" t="str">
            <v>East Chinnock</v>
          </cell>
          <cell r="C250">
            <v>229.74</v>
          </cell>
          <cell r="E250">
            <v>227.22</v>
          </cell>
          <cell r="F250">
            <v>11356</v>
          </cell>
        </row>
        <row r="251">
          <cell r="B251" t="str">
            <v>East Coker</v>
          </cell>
          <cell r="C251">
            <v>830.58</v>
          </cell>
          <cell r="E251">
            <v>819.73</v>
          </cell>
          <cell r="F251">
            <v>68325</v>
          </cell>
        </row>
        <row r="252">
          <cell r="B252" t="str">
            <v>Fivehead &amp; Swell</v>
          </cell>
          <cell r="C252">
            <v>277.27999999999997</v>
          </cell>
          <cell r="E252">
            <v>269.3</v>
          </cell>
          <cell r="F252">
            <v>18095</v>
          </cell>
        </row>
        <row r="253">
          <cell r="B253" t="str">
            <v>Hambridge &amp; Westport</v>
          </cell>
          <cell r="C253">
            <v>218.42</v>
          </cell>
          <cell r="E253">
            <v>214.85</v>
          </cell>
          <cell r="F253">
            <v>18150</v>
          </cell>
        </row>
        <row r="254">
          <cell r="B254" t="str">
            <v>Hardington Mandeville</v>
          </cell>
          <cell r="C254">
            <v>288.07</v>
          </cell>
          <cell r="E254">
            <v>284.61</v>
          </cell>
          <cell r="F254">
            <v>14460</v>
          </cell>
        </row>
        <row r="255">
          <cell r="B255" t="str">
            <v>Haselbury Plucknett</v>
          </cell>
          <cell r="C255">
            <v>294.33</v>
          </cell>
          <cell r="E255">
            <v>290.01</v>
          </cell>
          <cell r="F255">
            <v>14875</v>
          </cell>
        </row>
        <row r="256">
          <cell r="B256" t="str">
            <v>Henstridge</v>
          </cell>
          <cell r="C256">
            <v>689.4</v>
          </cell>
          <cell r="E256">
            <v>690.06</v>
          </cell>
          <cell r="F256">
            <v>73447</v>
          </cell>
        </row>
        <row r="257">
          <cell r="B257" t="str">
            <v>High Ham</v>
          </cell>
          <cell r="C257">
            <v>420.18</v>
          </cell>
          <cell r="E257">
            <v>417.11</v>
          </cell>
          <cell r="F257">
            <v>26000</v>
          </cell>
        </row>
        <row r="258">
          <cell r="B258" t="str">
            <v>Hinton St. George</v>
          </cell>
          <cell r="C258">
            <v>235.84</v>
          </cell>
          <cell r="E258">
            <v>233.39</v>
          </cell>
          <cell r="F258">
            <v>19511</v>
          </cell>
        </row>
        <row r="259">
          <cell r="B259" t="str">
            <v>Horsington</v>
          </cell>
          <cell r="C259">
            <v>300.22000000000003</v>
          </cell>
          <cell r="E259">
            <v>297.17</v>
          </cell>
          <cell r="F259">
            <v>12980</v>
          </cell>
        </row>
        <row r="260">
          <cell r="B260" t="str">
            <v>Horton</v>
          </cell>
          <cell r="C260">
            <v>342.45</v>
          </cell>
          <cell r="E260">
            <v>335.83</v>
          </cell>
          <cell r="F260">
            <v>14000</v>
          </cell>
        </row>
        <row r="261">
          <cell r="B261" t="str">
            <v>Huish Episcopi</v>
          </cell>
          <cell r="C261">
            <v>1035.26</v>
          </cell>
          <cell r="E261">
            <v>1022.48</v>
          </cell>
          <cell r="F261">
            <v>73325</v>
          </cell>
        </row>
        <row r="262">
          <cell r="B262" t="str">
            <v>Ilchester</v>
          </cell>
          <cell r="C262">
            <v>752.15</v>
          </cell>
          <cell r="E262">
            <v>695.4</v>
          </cell>
          <cell r="F262">
            <v>31900</v>
          </cell>
        </row>
        <row r="263">
          <cell r="B263" t="str">
            <v>Ilminster Town</v>
          </cell>
          <cell r="C263">
            <v>2123.77</v>
          </cell>
          <cell r="E263">
            <v>2090.86</v>
          </cell>
          <cell r="F263">
            <v>379231</v>
          </cell>
        </row>
        <row r="264">
          <cell r="B264" t="str">
            <v>Ilton</v>
          </cell>
          <cell r="C264">
            <v>341.55</v>
          </cell>
          <cell r="E264">
            <v>344.59</v>
          </cell>
          <cell r="F264">
            <v>26000</v>
          </cell>
        </row>
        <row r="265">
          <cell r="B265" t="str">
            <v>Isle Abbotts</v>
          </cell>
          <cell r="C265">
            <v>89.67</v>
          </cell>
          <cell r="E265">
            <v>89.21</v>
          </cell>
          <cell r="F265">
            <v>6000</v>
          </cell>
        </row>
        <row r="266">
          <cell r="B266" t="str">
            <v>Isle Brewers</v>
          </cell>
          <cell r="C266">
            <v>65.92</v>
          </cell>
          <cell r="E266">
            <v>65.040000000000006</v>
          </cell>
          <cell r="F266">
            <v>0</v>
          </cell>
        </row>
        <row r="267">
          <cell r="B267" t="str">
            <v>Keinton Mandeville</v>
          </cell>
          <cell r="C267">
            <v>497.78</v>
          </cell>
          <cell r="E267">
            <v>493.08</v>
          </cell>
          <cell r="F267">
            <v>20280</v>
          </cell>
        </row>
        <row r="268">
          <cell r="B268" t="str">
            <v>Kingsbury Episcopi</v>
          </cell>
          <cell r="C268">
            <v>585.77</v>
          </cell>
          <cell r="E268">
            <v>582.15</v>
          </cell>
          <cell r="F268">
            <v>44000</v>
          </cell>
        </row>
        <row r="269">
          <cell r="B269" t="str">
            <v>Kingsdon</v>
          </cell>
          <cell r="C269">
            <v>188.74</v>
          </cell>
          <cell r="E269">
            <v>179.83</v>
          </cell>
          <cell r="F269">
            <v>21000</v>
          </cell>
        </row>
        <row r="270">
          <cell r="B270" t="str">
            <v>Kingstone</v>
          </cell>
          <cell r="C270">
            <v>57</v>
          </cell>
          <cell r="E270">
            <v>55.26</v>
          </cell>
          <cell r="F270">
            <v>0</v>
          </cell>
        </row>
        <row r="271">
          <cell r="B271" t="str">
            <v>Kingweston</v>
          </cell>
          <cell r="C271">
            <v>29.83</v>
          </cell>
          <cell r="E271">
            <v>30.4</v>
          </cell>
          <cell r="F271">
            <v>1000</v>
          </cell>
        </row>
        <row r="272">
          <cell r="B272" t="str">
            <v>Knowle St. Giles</v>
          </cell>
          <cell r="C272">
            <v>82.76</v>
          </cell>
          <cell r="E272">
            <v>81.88</v>
          </cell>
          <cell r="F272">
            <v>1450</v>
          </cell>
        </row>
        <row r="273">
          <cell r="B273" t="str">
            <v>Langport</v>
          </cell>
          <cell r="C273">
            <v>337.09</v>
          </cell>
          <cell r="E273">
            <v>330.06</v>
          </cell>
          <cell r="F273">
            <v>107285</v>
          </cell>
        </row>
        <row r="274">
          <cell r="B274" t="str">
            <v>Long Load</v>
          </cell>
          <cell r="C274">
            <v>145.94999999999999</v>
          </cell>
          <cell r="E274">
            <v>142.24</v>
          </cell>
          <cell r="F274">
            <v>9544</v>
          </cell>
        </row>
        <row r="275">
          <cell r="B275" t="str">
            <v>Long Sutton</v>
          </cell>
          <cell r="C275">
            <v>398.73</v>
          </cell>
          <cell r="E275">
            <v>394.98</v>
          </cell>
          <cell r="F275">
            <v>28795</v>
          </cell>
        </row>
        <row r="276">
          <cell r="B276" t="str">
            <v>Lopen</v>
          </cell>
          <cell r="C276">
            <v>116.27</v>
          </cell>
          <cell r="E276">
            <v>116.87</v>
          </cell>
          <cell r="F276">
            <v>7265</v>
          </cell>
        </row>
        <row r="277">
          <cell r="B277" t="str">
            <v>Marston Magna</v>
          </cell>
          <cell r="C277">
            <v>205.78</v>
          </cell>
          <cell r="E277">
            <v>203.46</v>
          </cell>
          <cell r="F277">
            <v>9765</v>
          </cell>
        </row>
        <row r="278">
          <cell r="B278" t="str">
            <v>Martock</v>
          </cell>
          <cell r="C278">
            <v>1767.92</v>
          </cell>
          <cell r="E278">
            <v>1739.3</v>
          </cell>
          <cell r="F278">
            <v>432057</v>
          </cell>
        </row>
        <row r="279">
          <cell r="B279" t="str">
            <v>Merriott</v>
          </cell>
          <cell r="C279">
            <v>773.33</v>
          </cell>
          <cell r="E279">
            <v>749.59</v>
          </cell>
          <cell r="F279">
            <v>48000</v>
          </cell>
        </row>
        <row r="280">
          <cell r="B280" t="str">
            <v>Milborne Port</v>
          </cell>
          <cell r="C280">
            <v>1198.29</v>
          </cell>
          <cell r="E280">
            <v>1176.96</v>
          </cell>
          <cell r="F280">
            <v>132705</v>
          </cell>
        </row>
        <row r="281">
          <cell r="B281" t="str">
            <v>Misterton</v>
          </cell>
          <cell r="C281">
            <v>393.08</v>
          </cell>
          <cell r="E281">
            <v>391.86</v>
          </cell>
          <cell r="F281">
            <v>23660</v>
          </cell>
        </row>
        <row r="282">
          <cell r="B282" t="str">
            <v>Montacute</v>
          </cell>
          <cell r="C282">
            <v>258.97000000000003</v>
          </cell>
          <cell r="E282">
            <v>256.33</v>
          </cell>
          <cell r="F282">
            <v>35000</v>
          </cell>
        </row>
        <row r="283">
          <cell r="B283" t="str">
            <v>Muchelney</v>
          </cell>
          <cell r="C283">
            <v>86.65</v>
          </cell>
          <cell r="E283">
            <v>86.38</v>
          </cell>
          <cell r="F283">
            <v>0</v>
          </cell>
        </row>
        <row r="284">
          <cell r="B284" t="str">
            <v>Mudford</v>
          </cell>
          <cell r="C284">
            <v>286.47000000000003</v>
          </cell>
          <cell r="E284">
            <v>287.29000000000002</v>
          </cell>
          <cell r="F284">
            <v>46705</v>
          </cell>
        </row>
        <row r="285">
          <cell r="B285" t="str">
            <v>North Cadbury</v>
          </cell>
          <cell r="C285">
            <v>462.16</v>
          </cell>
          <cell r="E285">
            <v>453.06</v>
          </cell>
          <cell r="F285">
            <v>15584</v>
          </cell>
        </row>
        <row r="286">
          <cell r="B286" t="str">
            <v>Yarlington (North Cadbury)</v>
          </cell>
          <cell r="C286">
            <v>65.58</v>
          </cell>
          <cell r="E286">
            <v>64.42</v>
          </cell>
          <cell r="F286">
            <v>2216</v>
          </cell>
        </row>
        <row r="287">
          <cell r="B287" t="str">
            <v>North Perrott</v>
          </cell>
          <cell r="C287">
            <v>128.41</v>
          </cell>
          <cell r="E287">
            <v>126.86</v>
          </cell>
          <cell r="F287">
            <v>6160</v>
          </cell>
        </row>
        <row r="288">
          <cell r="B288" t="str">
            <v>Holton (North Vale)</v>
          </cell>
          <cell r="C288">
            <v>124.96</v>
          </cell>
          <cell r="E288">
            <v>124.61</v>
          </cell>
          <cell r="F288">
            <v>3178</v>
          </cell>
        </row>
        <row r="289">
          <cell r="B289" t="str">
            <v>Maperton (North Vale)</v>
          </cell>
          <cell r="C289">
            <v>63.36</v>
          </cell>
          <cell r="E289">
            <v>61.51</v>
          </cell>
          <cell r="F289">
            <v>1489</v>
          </cell>
        </row>
        <row r="290">
          <cell r="B290" t="str">
            <v>North Cheriton (North Vale)</v>
          </cell>
          <cell r="C290">
            <v>105.2</v>
          </cell>
          <cell r="E290">
            <v>105.7</v>
          </cell>
          <cell r="F290">
            <v>4333</v>
          </cell>
        </row>
        <row r="291">
          <cell r="B291" t="str">
            <v>Norton sub Hamdon</v>
          </cell>
          <cell r="C291">
            <v>326.3</v>
          </cell>
          <cell r="E291">
            <v>325.27</v>
          </cell>
          <cell r="F291">
            <v>27450</v>
          </cell>
        </row>
        <row r="292">
          <cell r="B292" t="str">
            <v>Odcombe</v>
          </cell>
          <cell r="C292">
            <v>297.33999999999997</v>
          </cell>
          <cell r="E292">
            <v>291.67</v>
          </cell>
          <cell r="F292">
            <v>21708</v>
          </cell>
        </row>
        <row r="293">
          <cell r="B293" t="str">
            <v>Pen Selwood</v>
          </cell>
          <cell r="C293">
            <v>174.14</v>
          </cell>
          <cell r="E293">
            <v>163.38999999999999</v>
          </cell>
          <cell r="F293">
            <v>6202</v>
          </cell>
        </row>
        <row r="294">
          <cell r="B294" t="str">
            <v>Pitcombe</v>
          </cell>
          <cell r="C294">
            <v>202.12</v>
          </cell>
          <cell r="E294">
            <v>190.38</v>
          </cell>
          <cell r="F294">
            <v>7291</v>
          </cell>
        </row>
        <row r="295">
          <cell r="B295" t="str">
            <v>Pitney</v>
          </cell>
          <cell r="C295">
            <v>183.95</v>
          </cell>
          <cell r="E295">
            <v>184.92</v>
          </cell>
          <cell r="F295">
            <v>4300</v>
          </cell>
        </row>
        <row r="296">
          <cell r="B296" t="str">
            <v>Puckington</v>
          </cell>
          <cell r="C296">
            <v>53.92</v>
          </cell>
          <cell r="E296">
            <v>52.92</v>
          </cell>
          <cell r="F296">
            <v>0</v>
          </cell>
        </row>
        <row r="297">
          <cell r="B297" t="str">
            <v>Queen Camel</v>
          </cell>
          <cell r="C297">
            <v>346.87</v>
          </cell>
          <cell r="E297">
            <v>340.31</v>
          </cell>
          <cell r="F297">
            <v>20000</v>
          </cell>
        </row>
        <row r="298">
          <cell r="B298" t="str">
            <v>Rimpton</v>
          </cell>
          <cell r="C298">
            <v>117.57</v>
          </cell>
          <cell r="E298">
            <v>118.09</v>
          </cell>
          <cell r="F298">
            <v>6760</v>
          </cell>
        </row>
        <row r="299">
          <cell r="B299" t="str">
            <v>Seavington St. Mary</v>
          </cell>
          <cell r="C299">
            <v>174.64</v>
          </cell>
          <cell r="E299">
            <v>172.95</v>
          </cell>
          <cell r="F299">
            <v>16735</v>
          </cell>
        </row>
        <row r="300">
          <cell r="B300" t="str">
            <v>Seavington St. Michael</v>
          </cell>
          <cell r="C300">
            <v>60.01</v>
          </cell>
          <cell r="E300">
            <v>59.58</v>
          </cell>
          <cell r="F300">
            <v>5765</v>
          </cell>
        </row>
        <row r="301">
          <cell r="B301" t="str">
            <v>Shepton Beauchamp</v>
          </cell>
          <cell r="C301">
            <v>304.74</v>
          </cell>
          <cell r="E301">
            <v>304.83</v>
          </cell>
          <cell r="F301">
            <v>28500</v>
          </cell>
        </row>
        <row r="302">
          <cell r="B302" t="str">
            <v>Shepton Montague</v>
          </cell>
          <cell r="C302">
            <v>96.83</v>
          </cell>
          <cell r="E302">
            <v>98.85</v>
          </cell>
          <cell r="F302">
            <v>3000</v>
          </cell>
        </row>
        <row r="303">
          <cell r="B303" t="str">
            <v>Somerton</v>
          </cell>
          <cell r="C303">
            <v>2140.0300000000002</v>
          </cell>
          <cell r="E303">
            <v>2109.5300000000002</v>
          </cell>
          <cell r="F303">
            <v>549902</v>
          </cell>
        </row>
        <row r="304">
          <cell r="B304" t="str">
            <v xml:space="preserve">South Cadbury and Sutton Montis </v>
          </cell>
          <cell r="C304">
            <v>166.05</v>
          </cell>
          <cell r="E304">
            <v>164.41</v>
          </cell>
          <cell r="F304">
            <v>6000</v>
          </cell>
        </row>
        <row r="305">
          <cell r="B305" t="str">
            <v>South Petherton</v>
          </cell>
          <cell r="C305">
            <v>1552.18</v>
          </cell>
          <cell r="E305">
            <v>1518.69</v>
          </cell>
          <cell r="F305">
            <v>241500</v>
          </cell>
        </row>
        <row r="306">
          <cell r="B306" t="str">
            <v>Sparkford</v>
          </cell>
          <cell r="C306">
            <v>364.41</v>
          </cell>
          <cell r="E306">
            <v>353.05</v>
          </cell>
          <cell r="F306">
            <v>11200</v>
          </cell>
        </row>
        <row r="307">
          <cell r="B307" t="str">
            <v>Stocklinch</v>
          </cell>
          <cell r="C307">
            <v>61</v>
          </cell>
          <cell r="E307">
            <v>60.96</v>
          </cell>
          <cell r="F307">
            <v>3000</v>
          </cell>
        </row>
        <row r="308">
          <cell r="B308" t="str">
            <v>Stoke sub Hamdon</v>
          </cell>
          <cell r="C308">
            <v>766.88</v>
          </cell>
          <cell r="E308">
            <v>740.75</v>
          </cell>
          <cell r="F308">
            <v>85063</v>
          </cell>
        </row>
        <row r="309">
          <cell r="B309" t="str">
            <v>Stoke Trister &amp; Bayford</v>
          </cell>
          <cell r="C309">
            <v>169.9</v>
          </cell>
          <cell r="E309">
            <v>170.25</v>
          </cell>
          <cell r="F309">
            <v>10000</v>
          </cell>
        </row>
        <row r="310">
          <cell r="B310" t="str">
            <v>Tatworth and Forton</v>
          </cell>
          <cell r="C310">
            <v>1009.42</v>
          </cell>
          <cell r="E310">
            <v>998.12</v>
          </cell>
          <cell r="F310">
            <v>49800</v>
          </cell>
        </row>
        <row r="311">
          <cell r="B311" t="str">
            <v>Tintinhull</v>
          </cell>
          <cell r="C311">
            <v>359.45</v>
          </cell>
          <cell r="E311">
            <v>357.9</v>
          </cell>
          <cell r="F311">
            <v>45000</v>
          </cell>
        </row>
        <row r="312">
          <cell r="B312" t="str">
            <v>Wambrook</v>
          </cell>
          <cell r="C312">
            <v>95.48</v>
          </cell>
          <cell r="E312">
            <v>93.1</v>
          </cell>
          <cell r="F312">
            <v>0</v>
          </cell>
        </row>
        <row r="313">
          <cell r="B313" t="str">
            <v>Wayford</v>
          </cell>
          <cell r="C313">
            <v>53.79</v>
          </cell>
          <cell r="E313">
            <v>51.47</v>
          </cell>
          <cell r="F313">
            <v>3400</v>
          </cell>
        </row>
        <row r="314">
          <cell r="B314" t="str">
            <v>West Camel</v>
          </cell>
          <cell r="C314">
            <v>187.01</v>
          </cell>
          <cell r="E314">
            <v>188.29</v>
          </cell>
          <cell r="F314">
            <v>11297</v>
          </cell>
        </row>
        <row r="315">
          <cell r="B315" t="str">
            <v>West &amp; Middle Chinnock</v>
          </cell>
          <cell r="C315">
            <v>249.84</v>
          </cell>
          <cell r="E315">
            <v>248</v>
          </cell>
          <cell r="F315">
            <v>16500</v>
          </cell>
        </row>
        <row r="316">
          <cell r="B316" t="str">
            <v>West Coker</v>
          </cell>
          <cell r="C316">
            <v>888.2</v>
          </cell>
          <cell r="E316">
            <v>870.05</v>
          </cell>
          <cell r="F316">
            <v>62000</v>
          </cell>
        </row>
        <row r="317">
          <cell r="B317" t="str">
            <v>West Crewkerne</v>
          </cell>
          <cell r="C317">
            <v>225.36</v>
          </cell>
          <cell r="E317">
            <v>222.56</v>
          </cell>
          <cell r="F317">
            <v>6571</v>
          </cell>
        </row>
        <row r="318">
          <cell r="B318" t="str">
            <v>Whitelackington</v>
          </cell>
          <cell r="C318">
            <v>78.400000000000006</v>
          </cell>
          <cell r="E318">
            <v>74.400000000000006</v>
          </cell>
          <cell r="F318">
            <v>520</v>
          </cell>
        </row>
        <row r="319">
          <cell r="B319" t="str">
            <v>Whitestaunton</v>
          </cell>
          <cell r="C319">
            <v>117.96</v>
          </cell>
          <cell r="E319">
            <v>117.9</v>
          </cell>
          <cell r="F319">
            <v>0</v>
          </cell>
        </row>
        <row r="320">
          <cell r="B320" t="str">
            <v>Wincanton Town</v>
          </cell>
          <cell r="C320">
            <v>2259.9700000000003</v>
          </cell>
          <cell r="E320">
            <v>2219.46</v>
          </cell>
          <cell r="F320">
            <v>406294</v>
          </cell>
        </row>
        <row r="321">
          <cell r="B321" t="str">
            <v>Winsham</v>
          </cell>
          <cell r="C321">
            <v>306.07</v>
          </cell>
          <cell r="E321">
            <v>304.25</v>
          </cell>
          <cell r="F321">
            <v>23042</v>
          </cell>
        </row>
        <row r="322">
          <cell r="B322" t="str">
            <v xml:space="preserve">Yeovil Town </v>
          </cell>
          <cell r="C322">
            <v>9199.49</v>
          </cell>
          <cell r="E322">
            <v>9203.5499999999993</v>
          </cell>
          <cell r="F322">
            <v>1335693</v>
          </cell>
        </row>
        <row r="323">
          <cell r="B323" t="str">
            <v>Yeovil Without</v>
          </cell>
          <cell r="C323">
            <v>3356.58</v>
          </cell>
          <cell r="E323">
            <v>3135.83</v>
          </cell>
          <cell r="F323">
            <v>132934</v>
          </cell>
        </row>
        <row r="324">
          <cell r="B324" t="str">
            <v>Yeovilton &amp; District</v>
          </cell>
          <cell r="C324">
            <v>279.72000000000003</v>
          </cell>
          <cell r="E324">
            <v>265.87</v>
          </cell>
          <cell r="F324">
            <v>6251</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arish.precepts@somerset.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F4246-A48D-4287-BF75-F770F228822A}">
  <sheetPr>
    <pageSetUpPr fitToPage="1"/>
  </sheetPr>
  <dimension ref="A1:P390"/>
  <sheetViews>
    <sheetView topLeftCell="A8" workbookViewId="0">
      <selection activeCell="I25" sqref="I25"/>
    </sheetView>
  </sheetViews>
  <sheetFormatPr defaultColWidth="11" defaultRowHeight="15.5" x14ac:dyDescent="0.35"/>
  <cols>
    <col min="1" max="1" width="5.54296875" style="658" customWidth="1"/>
    <col min="2" max="2" width="7.1796875" style="658" customWidth="1"/>
    <col min="3" max="3" width="11.54296875" style="658" customWidth="1"/>
    <col min="4" max="4" width="9.54296875" style="658" customWidth="1"/>
    <col min="5" max="5" width="9.1796875" style="658" customWidth="1"/>
    <col min="6" max="7" width="8.1796875" style="658" customWidth="1"/>
    <col min="8" max="8" width="6.54296875" style="658" customWidth="1"/>
    <col min="9" max="9" width="10" style="658" customWidth="1"/>
    <col min="10" max="15" width="8.1796875" style="658" customWidth="1"/>
    <col min="16" max="16" width="5.453125" style="658" customWidth="1"/>
    <col min="17" max="16384" width="11" style="658"/>
  </cols>
  <sheetData>
    <row r="1" spans="1:16" s="653" customFormat="1" ht="20" x14ac:dyDescent="0.4">
      <c r="A1" s="1353" t="s">
        <v>383</v>
      </c>
      <c r="B1" s="1354"/>
      <c r="C1" s="1354"/>
      <c r="D1" s="1354"/>
      <c r="E1" s="1354"/>
      <c r="F1" s="1354"/>
      <c r="G1" s="1354"/>
      <c r="H1" s="1354"/>
      <c r="I1" s="1354"/>
      <c r="J1" s="1354"/>
      <c r="K1" s="1354"/>
      <c r="L1" s="1354"/>
      <c r="M1" s="1354"/>
      <c r="N1" s="1354"/>
      <c r="O1" s="1354"/>
      <c r="P1" s="1354"/>
    </row>
    <row r="2" spans="1:16" s="653" customFormat="1" ht="20" x14ac:dyDescent="0.4">
      <c r="A2" s="1355" t="s">
        <v>384</v>
      </c>
      <c r="B2" s="1355"/>
      <c r="C2" s="1355"/>
      <c r="D2" s="1355"/>
      <c r="E2" s="1355"/>
      <c r="F2" s="1355"/>
      <c r="G2" s="1355"/>
      <c r="H2" s="1355"/>
      <c r="I2" s="1355"/>
      <c r="J2" s="1355"/>
      <c r="K2" s="1355"/>
      <c r="L2" s="1355"/>
      <c r="M2" s="1355"/>
      <c r="N2" s="1355"/>
      <c r="O2" s="1355"/>
      <c r="P2" s="1355"/>
    </row>
    <row r="3" spans="1:16" s="653" customFormat="1" ht="6" customHeight="1" x14ac:dyDescent="0.35"/>
    <row r="4" spans="1:16" s="653" customFormat="1" ht="15.65" customHeight="1" x14ac:dyDescent="0.35">
      <c r="B4" s="654" t="s">
        <v>385</v>
      </c>
      <c r="C4" s="654"/>
      <c r="D4" s="654"/>
      <c r="E4" s="654"/>
    </row>
    <row r="5" spans="1:16" s="653" customFormat="1" ht="6" customHeight="1" thickBot="1" x14ac:dyDescent="0.4"/>
    <row r="6" spans="1:16" ht="18.5" thickBot="1" x14ac:dyDescent="0.4">
      <c r="A6" s="655" t="s">
        <v>386</v>
      </c>
      <c r="B6" s="656"/>
      <c r="C6" s="657"/>
      <c r="D6" s="657"/>
      <c r="E6" s="1356" t="s">
        <v>387</v>
      </c>
      <c r="F6" s="1356"/>
      <c r="G6" s="1356"/>
      <c r="H6" s="1356"/>
      <c r="I6" s="1356"/>
      <c r="J6" s="1356"/>
      <c r="K6" s="1356"/>
      <c r="L6" s="1356"/>
      <c r="M6" s="1356"/>
      <c r="N6" s="1356"/>
      <c r="O6" s="1356"/>
      <c r="P6" s="1357"/>
    </row>
    <row r="7" spans="1:16" s="653" customFormat="1" ht="7" customHeight="1" x14ac:dyDescent="0.35">
      <c r="A7" s="659"/>
      <c r="B7" s="660"/>
      <c r="C7" s="660"/>
      <c r="D7" s="660"/>
      <c r="E7" s="661"/>
      <c r="F7" s="661"/>
      <c r="G7" s="661"/>
      <c r="H7" s="661"/>
      <c r="I7" s="661"/>
      <c r="J7" s="661"/>
      <c r="K7" s="661"/>
      <c r="L7" s="661"/>
      <c r="M7" s="661"/>
      <c r="N7" s="661"/>
      <c r="O7" s="661"/>
      <c r="P7" s="661"/>
    </row>
    <row r="8" spans="1:16" s="653" customFormat="1" x14ac:dyDescent="0.35">
      <c r="B8" s="1358"/>
      <c r="C8" s="1358"/>
      <c r="D8" s="1358"/>
      <c r="E8" s="1358"/>
      <c r="F8" s="1358"/>
      <c r="G8" s="1358"/>
      <c r="H8" s="1358"/>
      <c r="I8" s="1358"/>
      <c r="J8" s="1358"/>
      <c r="K8" s="1358"/>
      <c r="L8" s="1358"/>
      <c r="M8" s="1358"/>
      <c r="N8" s="1358"/>
      <c r="O8" s="1358"/>
      <c r="P8" s="662"/>
    </row>
    <row r="9" spans="1:16" s="653" customFormat="1" ht="4.75" customHeight="1" x14ac:dyDescent="0.35">
      <c r="A9" s="663"/>
      <c r="B9" s="664"/>
      <c r="C9" s="664"/>
      <c r="D9" s="664"/>
      <c r="E9" s="664"/>
      <c r="F9" s="664"/>
      <c r="G9" s="665"/>
      <c r="H9" s="665"/>
      <c r="I9" s="665"/>
      <c r="J9" s="665"/>
      <c r="K9" s="665"/>
      <c r="L9" s="665"/>
      <c r="M9" s="665"/>
      <c r="N9" s="665"/>
      <c r="O9" s="665"/>
      <c r="P9" s="665"/>
    </row>
    <row r="10" spans="1:16" s="666" customFormat="1" ht="49.75" customHeight="1" x14ac:dyDescent="0.35">
      <c r="B10" s="1359" t="s">
        <v>388</v>
      </c>
      <c r="C10" s="1359"/>
      <c r="D10" s="1359"/>
      <c r="E10" s="1359"/>
      <c r="F10" s="1359"/>
      <c r="G10" s="1359"/>
      <c r="H10" s="1359"/>
      <c r="I10" s="1359"/>
      <c r="J10" s="1359"/>
      <c r="K10" s="1359"/>
      <c r="L10" s="1359"/>
      <c r="M10" s="1359"/>
      <c r="N10" s="1359"/>
      <c r="O10" s="1359"/>
      <c r="P10" s="667"/>
    </row>
    <row r="11" spans="1:16" s="653" customFormat="1" ht="11.15" customHeight="1" thickBot="1" x14ac:dyDescent="0.4">
      <c r="A11" s="663"/>
      <c r="B11" s="664"/>
      <c r="C11" s="664"/>
      <c r="D11" s="664"/>
      <c r="E11" s="665"/>
      <c r="F11" s="665"/>
      <c r="G11" s="665"/>
      <c r="H11" s="665"/>
      <c r="I11" s="665"/>
      <c r="J11" s="665"/>
      <c r="K11" s="665"/>
      <c r="L11" s="665"/>
      <c r="M11" s="665"/>
      <c r="N11" s="665"/>
      <c r="O11" s="665"/>
      <c r="P11" s="665"/>
    </row>
    <row r="12" spans="1:16" s="653" customFormat="1" ht="18.5" thickBot="1" x14ac:dyDescent="0.4">
      <c r="A12" s="668"/>
      <c r="B12" s="669"/>
      <c r="C12" s="669"/>
      <c r="D12" s="669"/>
      <c r="E12" s="1347" t="s">
        <v>315</v>
      </c>
      <c r="F12" s="1348"/>
      <c r="G12" s="1349"/>
      <c r="H12" s="1347" t="s">
        <v>389</v>
      </c>
      <c r="I12" s="1348"/>
      <c r="J12" s="1349"/>
      <c r="K12" s="1350" t="s">
        <v>390</v>
      </c>
      <c r="L12" s="1351"/>
      <c r="M12" s="1352"/>
      <c r="N12" s="1350" t="s">
        <v>391</v>
      </c>
      <c r="O12" s="1351"/>
      <c r="P12" s="1352"/>
    </row>
    <row r="13" spans="1:16" ht="18.5" thickBot="1" x14ac:dyDescent="0.4">
      <c r="A13" s="1363" t="s">
        <v>392</v>
      </c>
      <c r="B13" s="1364"/>
      <c r="C13" s="1364"/>
      <c r="D13" s="1364"/>
      <c r="E13" s="1371" t="e">
        <f>+SUMIF('[1]Tax Base'!$B$4:$B$324,$E$6,'[1]Tax Base'!$E$4:$E$324)</f>
        <v>#VALUE!</v>
      </c>
      <c r="F13" s="1372"/>
      <c r="G13" s="1373"/>
      <c r="H13" s="1371" t="e">
        <f>+SUMIF('[1]Tax Base'!$B$4:$B$324,$E$6,'[1]Tax Base'!$C$4:$C$324)</f>
        <v>#VALUE!</v>
      </c>
      <c r="I13" s="1372"/>
      <c r="J13" s="1373"/>
      <c r="K13" s="1374" t="e">
        <f>+H13-E13</f>
        <v>#VALUE!</v>
      </c>
      <c r="L13" s="1375"/>
      <c r="M13" s="1376"/>
      <c r="N13" s="1360" t="e">
        <f>+ROUND(H13/E13-1,4)</f>
        <v>#VALUE!</v>
      </c>
      <c r="O13" s="1361"/>
      <c r="P13" s="1362"/>
    </row>
    <row r="14" spans="1:16" ht="18.5" thickBot="1" x14ac:dyDescent="0.4">
      <c r="A14" s="1363" t="s">
        <v>82</v>
      </c>
      <c r="B14" s="1364"/>
      <c r="C14" s="1364"/>
      <c r="D14" s="1364"/>
      <c r="E14" s="1365" t="e">
        <f>+SUMIF('[1]Tax Base'!$B$4:$B$324,$E$6,'[1]Tax Base'!$F$4:$F$324)</f>
        <v>#VALUE!</v>
      </c>
      <c r="F14" s="1366"/>
      <c r="G14" s="1367"/>
      <c r="H14" s="1368">
        <v>62288.75</v>
      </c>
      <c r="I14" s="1369"/>
      <c r="J14" s="1370"/>
      <c r="K14" s="1365" t="e">
        <f>+H14-E14</f>
        <v>#VALUE!</v>
      </c>
      <c r="L14" s="1366"/>
      <c r="M14" s="1367"/>
      <c r="N14" s="1360" t="e">
        <f>+ROUND(H14/E14-1,4)</f>
        <v>#VALUE!</v>
      </c>
      <c r="O14" s="1361"/>
      <c r="P14" s="1362"/>
    </row>
    <row r="15" spans="1:16" ht="18.5" thickBot="1" x14ac:dyDescent="0.4">
      <c r="A15" s="1363" t="s">
        <v>393</v>
      </c>
      <c r="B15" s="1364"/>
      <c r="C15" s="1364"/>
      <c r="D15" s="1364"/>
      <c r="E15" s="1377" t="e">
        <f>+ROUND(E14/E13,2)</f>
        <v>#VALUE!</v>
      </c>
      <c r="F15" s="1378"/>
      <c r="G15" s="1379"/>
      <c r="H15" s="1380" t="e">
        <f>+ROUND(H14/H13,2)</f>
        <v>#VALUE!</v>
      </c>
      <c r="I15" s="1381"/>
      <c r="J15" s="1382"/>
      <c r="K15" s="1383" t="e">
        <f>+H15-E15</f>
        <v>#VALUE!</v>
      </c>
      <c r="L15" s="1384"/>
      <c r="M15" s="1385"/>
      <c r="N15" s="1386" t="e">
        <f>+ROUND(H15/E15-1,4)</f>
        <v>#VALUE!</v>
      </c>
      <c r="O15" s="1387"/>
      <c r="P15" s="1388"/>
    </row>
    <row r="16" spans="1:16" s="653" customFormat="1" ht="9" customHeight="1" thickBot="1" x14ac:dyDescent="0.4">
      <c r="A16" s="670"/>
      <c r="B16" s="670"/>
      <c r="C16" s="670"/>
      <c r="D16" s="670"/>
    </row>
    <row r="17" spans="1:16" s="678" customFormat="1" ht="18" x14ac:dyDescent="0.4">
      <c r="A17" s="671" t="s">
        <v>394</v>
      </c>
      <c r="B17" s="672"/>
      <c r="C17" s="672"/>
      <c r="D17" s="673"/>
      <c r="E17" s="674"/>
      <c r="F17" s="675"/>
      <c r="G17" s="675"/>
      <c r="H17" s="675"/>
      <c r="I17" s="675"/>
      <c r="J17" s="675"/>
      <c r="K17" s="675"/>
      <c r="L17" s="675"/>
      <c r="M17" s="676"/>
      <c r="N17" s="676"/>
      <c r="O17" s="676"/>
      <c r="P17" s="677"/>
    </row>
    <row r="18" spans="1:16" s="683" customFormat="1" ht="22.4" customHeight="1" x14ac:dyDescent="0.35">
      <c r="A18" s="679"/>
      <c r="B18" s="653" t="s">
        <v>395</v>
      </c>
      <c r="C18" s="680"/>
      <c r="D18" s="680"/>
      <c r="E18" s="681"/>
      <c r="F18" s="680"/>
      <c r="G18" s="680"/>
      <c r="H18" s="680"/>
      <c r="I18" s="680"/>
      <c r="J18" s="680"/>
      <c r="K18" s="680"/>
      <c r="L18" s="680"/>
      <c r="M18" s="680"/>
      <c r="N18" s="680"/>
      <c r="O18" s="680"/>
      <c r="P18" s="682"/>
    </row>
    <row r="19" spans="1:16" s="680" customFormat="1" ht="11.5" customHeight="1" thickBot="1" x14ac:dyDescent="0.4">
      <c r="A19" s="684"/>
      <c r="B19" s="685"/>
      <c r="C19" s="685"/>
      <c r="D19" s="685"/>
      <c r="E19" s="685"/>
      <c r="F19" s="685"/>
      <c r="G19" s="685"/>
      <c r="H19" s="685"/>
      <c r="I19" s="685"/>
      <c r="J19" s="685"/>
      <c r="K19" s="685"/>
      <c r="L19" s="685"/>
      <c r="M19" s="685"/>
      <c r="N19" s="685"/>
      <c r="O19" s="685"/>
      <c r="P19" s="686"/>
    </row>
    <row r="20" spans="1:16" s="653" customFormat="1" ht="5.9" customHeight="1" thickBot="1" x14ac:dyDescent="0.4">
      <c r="A20" s="687"/>
      <c r="B20" s="688"/>
      <c r="C20" s="688"/>
      <c r="D20" s="688"/>
      <c r="E20" s="688"/>
      <c r="F20" s="688"/>
      <c r="G20" s="688"/>
      <c r="H20" s="688"/>
      <c r="I20" s="688"/>
      <c r="J20" s="688"/>
      <c r="K20" s="688"/>
      <c r="L20" s="688"/>
      <c r="M20" s="688"/>
      <c r="N20" s="688"/>
      <c r="O20" s="688"/>
      <c r="P20" s="689"/>
    </row>
    <row r="21" spans="1:16" ht="18" x14ac:dyDescent="0.35">
      <c r="A21" s="690" t="s">
        <v>396</v>
      </c>
      <c r="B21" s="691"/>
      <c r="C21" s="691"/>
      <c r="D21" s="692"/>
      <c r="E21" s="693"/>
      <c r="F21" s="694"/>
      <c r="G21" s="694"/>
      <c r="H21" s="694"/>
      <c r="I21" s="694"/>
      <c r="J21" s="694"/>
      <c r="K21" s="694"/>
      <c r="L21" s="694"/>
      <c r="M21" s="695"/>
      <c r="N21" s="695"/>
      <c r="O21" s="695"/>
      <c r="P21" s="696"/>
    </row>
    <row r="22" spans="1:16" s="653" customFormat="1" ht="6.65" customHeight="1" x14ac:dyDescent="0.35">
      <c r="A22" s="697"/>
      <c r="P22" s="698"/>
    </row>
    <row r="23" spans="1:16" s="653" customFormat="1" ht="15.75" customHeight="1" x14ac:dyDescent="0.35">
      <c r="A23" s="697"/>
      <c r="B23" s="653" t="s">
        <v>397</v>
      </c>
      <c r="P23" s="698"/>
    </row>
    <row r="24" spans="1:16" s="653" customFormat="1" ht="5.9" customHeight="1" x14ac:dyDescent="0.35">
      <c r="A24" s="697"/>
      <c r="P24" s="698"/>
    </row>
    <row r="25" spans="1:16" s="653" customFormat="1" ht="15.75" customHeight="1" x14ac:dyDescent="0.35">
      <c r="A25" s="697"/>
      <c r="B25" s="653" t="s">
        <v>398</v>
      </c>
      <c r="N25" s="653" t="s">
        <v>399</v>
      </c>
      <c r="P25" s="698"/>
    </row>
    <row r="26" spans="1:16" s="653" customFormat="1" ht="15.75" customHeight="1" x14ac:dyDescent="0.35">
      <c r="A26" s="697"/>
      <c r="B26" s="654"/>
      <c r="C26" s="654"/>
      <c r="D26" s="654"/>
      <c r="E26" s="654"/>
      <c r="F26" s="654"/>
      <c r="G26" s="654"/>
      <c r="H26" s="654"/>
      <c r="I26" s="654"/>
      <c r="J26" s="654"/>
      <c r="K26" s="654"/>
      <c r="L26" s="654"/>
      <c r="N26" s="699"/>
      <c r="O26" s="699"/>
      <c r="P26" s="698"/>
    </row>
    <row r="27" spans="1:16" s="653" customFormat="1" ht="15.75" customHeight="1" x14ac:dyDescent="0.35">
      <c r="A27" s="697"/>
      <c r="B27" s="700"/>
      <c r="C27" s="700"/>
      <c r="D27" s="700"/>
      <c r="E27" s="700"/>
      <c r="F27" s="700"/>
      <c r="G27" s="700"/>
      <c r="H27" s="700"/>
      <c r="I27" s="700"/>
      <c r="J27" s="700"/>
      <c r="K27" s="700"/>
      <c r="L27" s="700"/>
      <c r="N27" s="700"/>
      <c r="O27" s="700"/>
      <c r="P27" s="698"/>
    </row>
    <row r="28" spans="1:16" s="653" customFormat="1" ht="15.75" customHeight="1" x14ac:dyDescent="0.35">
      <c r="A28" s="697"/>
      <c r="B28" s="700"/>
      <c r="C28" s="700"/>
      <c r="D28" s="700"/>
      <c r="E28" s="700"/>
      <c r="F28" s="700"/>
      <c r="G28" s="700"/>
      <c r="H28" s="700"/>
      <c r="I28" s="700"/>
      <c r="J28" s="700"/>
      <c r="K28" s="700"/>
      <c r="L28" s="700"/>
      <c r="N28" s="700"/>
      <c r="O28" s="700"/>
      <c r="P28" s="698"/>
    </row>
    <row r="29" spans="1:16" s="653" customFormat="1" ht="15.75" customHeight="1" x14ac:dyDescent="0.35">
      <c r="A29" s="697"/>
      <c r="B29" s="700"/>
      <c r="C29" s="700"/>
      <c r="D29" s="700"/>
      <c r="E29" s="700"/>
      <c r="F29" s="700"/>
      <c r="G29" s="700"/>
      <c r="H29" s="700"/>
      <c r="I29" s="700"/>
      <c r="J29" s="700"/>
      <c r="K29" s="700"/>
      <c r="L29" s="700"/>
      <c r="N29" s="700"/>
      <c r="O29" s="700"/>
      <c r="P29" s="698"/>
    </row>
    <row r="30" spans="1:16" s="653" customFormat="1" ht="15.75" customHeight="1" x14ac:dyDescent="0.35">
      <c r="A30" s="697"/>
      <c r="B30" s="700"/>
      <c r="C30" s="700"/>
      <c r="D30" s="700"/>
      <c r="E30" s="700"/>
      <c r="F30" s="700"/>
      <c r="G30" s="700"/>
      <c r="H30" s="700"/>
      <c r="I30" s="700"/>
      <c r="J30" s="700"/>
      <c r="K30" s="700"/>
      <c r="L30" s="700"/>
      <c r="N30" s="700"/>
      <c r="O30" s="700"/>
      <c r="P30" s="698"/>
    </row>
    <row r="31" spans="1:16" s="653" customFormat="1" ht="15.75" customHeight="1" x14ac:dyDescent="0.35">
      <c r="A31" s="697"/>
      <c r="B31" s="700"/>
      <c r="C31" s="700"/>
      <c r="D31" s="700"/>
      <c r="E31" s="700"/>
      <c r="F31" s="700"/>
      <c r="G31" s="700"/>
      <c r="H31" s="700"/>
      <c r="I31" s="700"/>
      <c r="J31" s="700"/>
      <c r="K31" s="700"/>
      <c r="L31" s="700"/>
      <c r="N31" s="700"/>
      <c r="O31" s="700"/>
      <c r="P31" s="698"/>
    </row>
    <row r="32" spans="1:16" s="653" customFormat="1" ht="15.75" customHeight="1" x14ac:dyDescent="0.35">
      <c r="A32" s="697"/>
      <c r="B32" s="700"/>
      <c r="C32" s="700"/>
      <c r="D32" s="700"/>
      <c r="E32" s="700"/>
      <c r="F32" s="700"/>
      <c r="G32" s="700"/>
      <c r="H32" s="700"/>
      <c r="I32" s="700"/>
      <c r="J32" s="700"/>
      <c r="K32" s="700"/>
      <c r="L32" s="700"/>
      <c r="N32" s="700"/>
      <c r="O32" s="700"/>
      <c r="P32" s="698"/>
    </row>
    <row r="33" spans="1:16" s="653" customFormat="1" ht="15.75" customHeight="1" x14ac:dyDescent="0.35">
      <c r="A33" s="697"/>
      <c r="B33" s="700"/>
      <c r="C33" s="700"/>
      <c r="D33" s="700"/>
      <c r="E33" s="700"/>
      <c r="F33" s="700"/>
      <c r="G33" s="700"/>
      <c r="H33" s="700"/>
      <c r="I33" s="700"/>
      <c r="J33" s="700"/>
      <c r="K33" s="700"/>
      <c r="L33" s="700"/>
      <c r="N33" s="700"/>
      <c r="O33" s="700"/>
      <c r="P33" s="698"/>
    </row>
    <row r="34" spans="1:16" s="653" customFormat="1" ht="15.75" customHeight="1" x14ac:dyDescent="0.35">
      <c r="A34" s="697"/>
      <c r="B34" s="700"/>
      <c r="C34" s="700"/>
      <c r="D34" s="700"/>
      <c r="E34" s="700"/>
      <c r="F34" s="700"/>
      <c r="G34" s="700"/>
      <c r="H34" s="700"/>
      <c r="I34" s="700"/>
      <c r="J34" s="700"/>
      <c r="K34" s="700"/>
      <c r="L34" s="700"/>
      <c r="N34" s="700"/>
      <c r="O34" s="700"/>
      <c r="P34" s="698"/>
    </row>
    <row r="35" spans="1:16" s="653" customFormat="1" ht="15.75" customHeight="1" x14ac:dyDescent="0.35">
      <c r="A35" s="697"/>
      <c r="B35" s="700"/>
      <c r="C35" s="700"/>
      <c r="D35" s="700"/>
      <c r="E35" s="700"/>
      <c r="F35" s="700"/>
      <c r="G35" s="700"/>
      <c r="H35" s="700"/>
      <c r="I35" s="700"/>
      <c r="J35" s="700"/>
      <c r="K35" s="700"/>
      <c r="L35" s="700"/>
      <c r="N35" s="700"/>
      <c r="O35" s="700"/>
      <c r="P35" s="698"/>
    </row>
    <row r="36" spans="1:16" s="653" customFormat="1" ht="15.75" customHeight="1" thickBot="1" x14ac:dyDescent="0.4">
      <c r="A36" s="697"/>
      <c r="P36" s="698"/>
    </row>
    <row r="37" spans="1:16" ht="18" x14ac:dyDescent="0.35">
      <c r="A37" s="1389" t="s">
        <v>400</v>
      </c>
      <c r="B37" s="1390"/>
      <c r="C37" s="1390"/>
      <c r="D37" s="1390"/>
      <c r="E37" s="1390"/>
      <c r="F37" s="701"/>
      <c r="G37" s="701"/>
      <c r="H37" s="701"/>
      <c r="I37" s="701"/>
      <c r="J37" s="695"/>
      <c r="K37" s="695"/>
      <c r="L37" s="695"/>
      <c r="M37" s="695"/>
      <c r="N37" s="695"/>
      <c r="O37" s="695"/>
      <c r="P37" s="696"/>
    </row>
    <row r="38" spans="1:16" ht="8.15" customHeight="1" x14ac:dyDescent="0.35">
      <c r="A38" s="697"/>
      <c r="B38" s="653"/>
      <c r="C38" s="653"/>
      <c r="D38" s="653"/>
      <c r="E38" s="653"/>
      <c r="F38" s="653"/>
      <c r="G38" s="653"/>
      <c r="H38" s="653"/>
      <c r="I38" s="653"/>
      <c r="J38" s="653"/>
      <c r="K38" s="653"/>
      <c r="L38" s="653"/>
      <c r="M38" s="653"/>
      <c r="N38" s="653"/>
      <c r="O38" s="653"/>
      <c r="P38" s="698"/>
    </row>
    <row r="39" spans="1:16" hidden="1" x14ac:dyDescent="0.35">
      <c r="A39" s="697"/>
      <c r="B39" s="702" t="s">
        <v>401</v>
      </c>
      <c r="C39" s="703"/>
      <c r="D39" s="703"/>
      <c r="E39" s="703"/>
      <c r="F39" s="703"/>
      <c r="G39" s="703"/>
      <c r="H39" s="703"/>
      <c r="I39" s="703"/>
      <c r="J39" s="703"/>
      <c r="K39" s="703"/>
      <c r="L39" s="653"/>
      <c r="M39" s="653"/>
      <c r="N39" s="653"/>
      <c r="O39" s="653"/>
      <c r="P39" s="698"/>
    </row>
    <row r="40" spans="1:16" s="653" customFormat="1" ht="8.9" hidden="1" customHeight="1" x14ac:dyDescent="0.35">
      <c r="A40" s="697"/>
      <c r="B40" s="704"/>
      <c r="P40" s="698"/>
    </row>
    <row r="41" spans="1:16" ht="16" thickBot="1" x14ac:dyDescent="0.4">
      <c r="A41" s="705"/>
      <c r="B41" s="706" t="s">
        <v>402</v>
      </c>
      <c r="C41" s="653"/>
      <c r="D41" s="653"/>
      <c r="E41" s="653"/>
      <c r="F41" s="653"/>
      <c r="G41" s="653"/>
      <c r="H41" s="653"/>
      <c r="I41" s="653"/>
      <c r="J41" s="704"/>
      <c r="K41" s="653"/>
      <c r="L41" s="653"/>
      <c r="M41" s="653"/>
      <c r="N41" s="653"/>
      <c r="O41" s="653"/>
      <c r="P41" s="698"/>
    </row>
    <row r="42" spans="1:16" s="653" customFormat="1" ht="16" customHeight="1" thickBot="1" x14ac:dyDescent="0.4">
      <c r="A42" s="707"/>
      <c r="B42" s="708" t="s">
        <v>403</v>
      </c>
      <c r="C42" s="709"/>
      <c r="D42" s="1391"/>
      <c r="E42" s="1392"/>
      <c r="F42" s="1392"/>
      <c r="G42" s="1392"/>
      <c r="H42" s="1392"/>
      <c r="I42" s="1392"/>
      <c r="J42" s="1392"/>
      <c r="K42" s="1392"/>
      <c r="L42" s="1392"/>
      <c r="M42" s="1392"/>
      <c r="N42" s="1392"/>
      <c r="O42" s="1393"/>
      <c r="P42" s="698"/>
    </row>
    <row r="43" spans="1:16" s="653" customFormat="1" ht="16" thickBot="1" x14ac:dyDescent="0.4">
      <c r="A43" s="707"/>
      <c r="B43" s="710" t="s">
        <v>404</v>
      </c>
      <c r="C43" s="709"/>
      <c r="D43" s="711"/>
      <c r="E43" s="712" t="s">
        <v>405</v>
      </c>
      <c r="F43" s="713"/>
      <c r="G43" s="712" t="s">
        <v>405</v>
      </c>
      <c r="H43" s="713"/>
      <c r="I43" s="710"/>
      <c r="J43" s="714"/>
      <c r="K43" s="714"/>
      <c r="L43" s="714"/>
      <c r="M43" s="714"/>
      <c r="N43" s="714"/>
      <c r="O43" s="714"/>
      <c r="P43" s="698"/>
    </row>
    <row r="44" spans="1:16" s="653" customFormat="1" ht="16" customHeight="1" thickBot="1" x14ac:dyDescent="0.4">
      <c r="A44" s="707"/>
      <c r="B44" s="710" t="s">
        <v>406</v>
      </c>
      <c r="C44" s="715"/>
      <c r="D44" s="1391"/>
      <c r="E44" s="1392"/>
      <c r="F44" s="1392"/>
      <c r="G44" s="1392"/>
      <c r="H44" s="1392"/>
      <c r="I44" s="1392"/>
      <c r="J44" s="1392"/>
      <c r="K44" s="1392"/>
      <c r="L44" s="1392"/>
      <c r="M44" s="1392"/>
      <c r="N44" s="1392"/>
      <c r="O44" s="1393"/>
      <c r="P44" s="698"/>
    </row>
    <row r="45" spans="1:16" s="653" customFormat="1" ht="16" customHeight="1" thickBot="1" x14ac:dyDescent="0.4">
      <c r="A45" s="707"/>
      <c r="B45" s="710" t="s">
        <v>407</v>
      </c>
      <c r="C45" s="715"/>
      <c r="D45" s="1391"/>
      <c r="E45" s="1392"/>
      <c r="F45" s="1392"/>
      <c r="G45" s="1392"/>
      <c r="H45" s="1392"/>
      <c r="I45" s="1392"/>
      <c r="J45" s="1392"/>
      <c r="K45" s="1392"/>
      <c r="L45" s="1392"/>
      <c r="M45" s="1392"/>
      <c r="N45" s="1392"/>
      <c r="O45" s="1393"/>
      <c r="P45" s="698"/>
    </row>
    <row r="46" spans="1:16" s="653" customFormat="1" ht="15.65" customHeight="1" x14ac:dyDescent="0.35">
      <c r="A46" s="707"/>
      <c r="B46" s="716" t="s">
        <v>408</v>
      </c>
      <c r="C46" s="717"/>
      <c r="D46" s="1398"/>
      <c r="E46" s="1399"/>
      <c r="F46" s="1399"/>
      <c r="G46" s="1399"/>
      <c r="H46" s="1399"/>
      <c r="I46" s="1399"/>
      <c r="J46" s="1399"/>
      <c r="K46" s="1399"/>
      <c r="L46" s="1399"/>
      <c r="M46" s="1399"/>
      <c r="N46" s="1399"/>
      <c r="O46" s="1400"/>
      <c r="P46" s="698"/>
    </row>
    <row r="47" spans="1:16" s="653" customFormat="1" ht="16" customHeight="1" thickBot="1" x14ac:dyDescent="0.4">
      <c r="A47" s="697"/>
      <c r="B47" s="718"/>
      <c r="C47" s="719"/>
      <c r="D47" s="1401"/>
      <c r="E47" s="1402"/>
      <c r="F47" s="1402"/>
      <c r="G47" s="1402"/>
      <c r="H47" s="1402"/>
      <c r="I47" s="1402"/>
      <c r="J47" s="1402"/>
      <c r="K47" s="1402"/>
      <c r="L47" s="1402"/>
      <c r="M47" s="1402"/>
      <c r="N47" s="1402"/>
      <c r="O47" s="1403"/>
      <c r="P47" s="698"/>
    </row>
    <row r="48" spans="1:16" s="653" customFormat="1" ht="7.4" customHeight="1" x14ac:dyDescent="0.35">
      <c r="A48" s="697"/>
      <c r="O48" s="698"/>
      <c r="P48" s="698"/>
    </row>
    <row r="49" spans="1:16" s="653" customFormat="1" ht="16" thickBot="1" x14ac:dyDescent="0.4">
      <c r="A49" s="697"/>
      <c r="B49" s="720" t="s">
        <v>409</v>
      </c>
      <c r="O49" s="698"/>
      <c r="P49" s="698"/>
    </row>
    <row r="50" spans="1:16" s="653" customFormat="1" ht="24" customHeight="1" thickBot="1" x14ac:dyDescent="0.4">
      <c r="A50" s="697"/>
      <c r="B50" s="710" t="s">
        <v>410</v>
      </c>
      <c r="C50" s="721"/>
      <c r="D50" s="1391"/>
      <c r="E50" s="1392"/>
      <c r="F50" s="1392"/>
      <c r="G50" s="1392"/>
      <c r="H50" s="1392"/>
      <c r="I50" s="1392"/>
      <c r="J50" s="1392"/>
      <c r="K50" s="1392"/>
      <c r="L50" s="1392"/>
      <c r="M50" s="1392"/>
      <c r="N50" s="1392"/>
      <c r="O50" s="1393"/>
      <c r="P50" s="698"/>
    </row>
    <row r="51" spans="1:16" s="653" customFormat="1" ht="24" customHeight="1" thickBot="1" x14ac:dyDescent="0.4">
      <c r="A51" s="697"/>
      <c r="B51" s="710" t="s">
        <v>411</v>
      </c>
      <c r="C51" s="721"/>
      <c r="D51" s="1391"/>
      <c r="E51" s="1392"/>
      <c r="F51" s="1392"/>
      <c r="G51" s="1392"/>
      <c r="H51" s="1392"/>
      <c r="I51" s="1392"/>
      <c r="J51" s="1392"/>
      <c r="K51" s="1392"/>
      <c r="L51" s="1392"/>
      <c r="M51" s="1392"/>
      <c r="N51" s="1392"/>
      <c r="O51" s="1393"/>
      <c r="P51" s="698"/>
    </row>
    <row r="52" spans="1:16" s="653" customFormat="1" ht="24" customHeight="1" thickBot="1" x14ac:dyDescent="0.4">
      <c r="A52" s="697"/>
      <c r="B52" s="710" t="s">
        <v>412</v>
      </c>
      <c r="C52" s="721"/>
      <c r="D52" s="1391"/>
      <c r="E52" s="1392"/>
      <c r="F52" s="1392"/>
      <c r="G52" s="1392"/>
      <c r="H52" s="1392"/>
      <c r="I52" s="1392"/>
      <c r="J52" s="1392"/>
      <c r="K52" s="1392"/>
      <c r="L52" s="1392"/>
      <c r="M52" s="1392"/>
      <c r="N52" s="1392"/>
      <c r="O52" s="1393"/>
      <c r="P52" s="698"/>
    </row>
    <row r="53" spans="1:16" s="653" customFormat="1" ht="11.15" customHeight="1" thickBot="1" x14ac:dyDescent="0.4">
      <c r="A53" s="722"/>
      <c r="B53" s="723"/>
      <c r="C53" s="723"/>
      <c r="D53" s="723"/>
      <c r="E53" s="723"/>
      <c r="F53" s="723"/>
      <c r="G53" s="723"/>
      <c r="H53" s="723"/>
      <c r="I53" s="723"/>
      <c r="J53" s="723"/>
      <c r="K53" s="723"/>
      <c r="L53" s="723"/>
      <c r="M53" s="723"/>
      <c r="N53" s="723"/>
      <c r="O53" s="723"/>
      <c r="P53" s="724"/>
    </row>
    <row r="54" spans="1:16" s="653" customFormat="1" ht="11.5" customHeight="1" thickBot="1" x14ac:dyDescent="0.4"/>
    <row r="55" spans="1:16" s="653" customFormat="1" ht="18" x14ac:dyDescent="0.35">
      <c r="A55" s="690" t="s">
        <v>413</v>
      </c>
      <c r="B55" s="701"/>
      <c r="C55" s="695"/>
      <c r="D55" s="695"/>
      <c r="E55" s="695"/>
      <c r="F55" s="695"/>
      <c r="G55" s="695"/>
      <c r="H55" s="695"/>
      <c r="I55" s="695"/>
      <c r="J55" s="695"/>
      <c r="K55" s="695"/>
      <c r="L55" s="695"/>
      <c r="M55" s="695"/>
      <c r="N55" s="695"/>
      <c r="O55" s="695"/>
      <c r="P55" s="696"/>
    </row>
    <row r="56" spans="1:16" s="653" customFormat="1" ht="8.15" customHeight="1" x14ac:dyDescent="0.35">
      <c r="A56" s="697"/>
      <c r="P56" s="698"/>
    </row>
    <row r="57" spans="1:16" x14ac:dyDescent="0.35">
      <c r="A57" s="697"/>
      <c r="B57" s="653" t="s">
        <v>414</v>
      </c>
      <c r="C57" s="653"/>
      <c r="D57" s="653"/>
      <c r="E57" s="653"/>
      <c r="F57" s="653"/>
      <c r="G57" s="653"/>
      <c r="H57" s="725" t="s">
        <v>415</v>
      </c>
      <c r="I57" s="699"/>
      <c r="J57" s="699"/>
      <c r="K57" s="699"/>
      <c r="M57" s="1394"/>
      <c r="N57" s="1394"/>
      <c r="O57" s="1394"/>
      <c r="P57" s="1395"/>
    </row>
    <row r="58" spans="1:16" ht="24" customHeight="1" x14ac:dyDescent="0.35">
      <c r="A58" s="728"/>
      <c r="B58" s="729" t="s">
        <v>416</v>
      </c>
      <c r="D58" s="699"/>
      <c r="E58" s="699"/>
      <c r="F58" s="699"/>
      <c r="G58" s="699"/>
      <c r="H58" s="730" t="s">
        <v>417</v>
      </c>
      <c r="I58" s="653"/>
      <c r="J58" s="699"/>
      <c r="K58" s="699"/>
      <c r="L58" s="699"/>
      <c r="M58" s="699"/>
      <c r="N58" s="699"/>
      <c r="O58" s="699"/>
      <c r="P58" s="698"/>
    </row>
    <row r="59" spans="1:16" ht="7.4" customHeight="1" x14ac:dyDescent="0.35">
      <c r="A59" s="728"/>
      <c r="B59" s="731"/>
      <c r="C59" s="730"/>
      <c r="D59" s="653"/>
      <c r="E59" s="726"/>
      <c r="F59" s="726"/>
      <c r="G59" s="726"/>
      <c r="H59" s="726"/>
      <c r="I59" s="726"/>
      <c r="J59" s="726"/>
      <c r="K59" s="726"/>
      <c r="L59" s="726"/>
      <c r="M59" s="726"/>
      <c r="N59" s="726"/>
      <c r="O59" s="726"/>
      <c r="P59" s="727"/>
    </row>
    <row r="60" spans="1:16" ht="19.75" customHeight="1" x14ac:dyDescent="0.35">
      <c r="A60" s="728"/>
      <c r="B60" s="729" t="s">
        <v>418</v>
      </c>
      <c r="C60" s="730"/>
      <c r="D60" s="653"/>
      <c r="E60" s="726"/>
      <c r="F60" s="726"/>
      <c r="G60" s="726"/>
      <c r="H60" s="732"/>
      <c r="I60" s="732"/>
      <c r="J60" s="732"/>
      <c r="K60" s="732"/>
      <c r="L60" s="732"/>
      <c r="M60" s="732"/>
      <c r="N60" s="732"/>
      <c r="O60" s="732"/>
      <c r="P60" s="727"/>
    </row>
    <row r="61" spans="1:16" s="653" customFormat="1" ht="8.9" customHeight="1" thickBot="1" x14ac:dyDescent="0.4">
      <c r="A61" s="722"/>
      <c r="B61" s="733"/>
      <c r="C61" s="733"/>
      <c r="D61" s="733"/>
      <c r="E61" s="733"/>
      <c r="F61" s="733"/>
      <c r="G61" s="733"/>
      <c r="H61" s="1396"/>
      <c r="I61" s="1396"/>
      <c r="J61" s="1396"/>
      <c r="K61" s="1396"/>
      <c r="L61" s="1396"/>
      <c r="M61" s="1396"/>
      <c r="N61" s="1396"/>
      <c r="O61" s="1396"/>
      <c r="P61" s="1397"/>
    </row>
    <row r="62" spans="1:16" s="653" customFormat="1" ht="5.9" customHeight="1" thickBot="1" x14ac:dyDescent="0.4"/>
    <row r="63" spans="1:16" s="653" customFormat="1" ht="18" x14ac:dyDescent="0.35">
      <c r="A63" s="690" t="s">
        <v>419</v>
      </c>
      <c r="B63" s="695"/>
      <c r="C63" s="695"/>
      <c r="D63" s="695"/>
      <c r="E63" s="695"/>
      <c r="F63" s="695"/>
      <c r="G63" s="695"/>
      <c r="H63" s="695"/>
      <c r="I63" s="695"/>
      <c r="J63" s="695"/>
      <c r="K63" s="695"/>
      <c r="L63" s="695"/>
      <c r="M63" s="695"/>
      <c r="N63" s="695"/>
      <c r="O63" s="695"/>
      <c r="P63" s="696"/>
    </row>
    <row r="64" spans="1:16" s="653" customFormat="1" ht="8.15" customHeight="1" x14ac:dyDescent="0.35">
      <c r="A64" s="697"/>
      <c r="P64" s="698"/>
    </row>
    <row r="65" spans="1:16" s="653" customFormat="1" x14ac:dyDescent="0.35">
      <c r="A65" s="697"/>
      <c r="B65" s="653" t="s">
        <v>420</v>
      </c>
      <c r="E65" s="734" t="s">
        <v>421</v>
      </c>
      <c r="P65" s="698"/>
    </row>
    <row r="66" spans="1:16" s="653" customFormat="1" x14ac:dyDescent="0.35">
      <c r="A66" s="697"/>
      <c r="B66" s="653" t="s">
        <v>422</v>
      </c>
      <c r="E66" s="653" t="s">
        <v>423</v>
      </c>
      <c r="P66" s="698"/>
    </row>
    <row r="67" spans="1:16" s="653" customFormat="1" ht="8.15" customHeight="1" thickBot="1" x14ac:dyDescent="0.4">
      <c r="A67" s="735"/>
      <c r="B67" s="736"/>
      <c r="C67" s="737"/>
      <c r="D67" s="738"/>
      <c r="E67" s="737"/>
      <c r="F67" s="739"/>
      <c r="G67" s="739"/>
      <c r="H67" s="739"/>
      <c r="I67" s="723"/>
      <c r="J67" s="723"/>
      <c r="K67" s="723"/>
      <c r="L67" s="723"/>
      <c r="M67" s="723"/>
      <c r="N67" s="723"/>
      <c r="O67" s="723"/>
      <c r="P67" s="724"/>
    </row>
    <row r="68" spans="1:16" hidden="1" x14ac:dyDescent="0.35">
      <c r="A68" s="653"/>
      <c r="B68" s="653"/>
      <c r="C68" s="653"/>
      <c r="D68" s="653"/>
      <c r="E68" s="653"/>
      <c r="F68" s="653"/>
      <c r="G68" s="653"/>
      <c r="H68" s="653"/>
      <c r="I68" s="653"/>
      <c r="J68" s="653"/>
      <c r="K68" s="653"/>
      <c r="L68" s="653"/>
      <c r="M68" s="653"/>
      <c r="N68" s="653"/>
      <c r="O68" s="653"/>
      <c r="P68" s="653"/>
    </row>
    <row r="69" spans="1:16" hidden="1" x14ac:dyDescent="0.35">
      <c r="A69" s="729" t="s">
        <v>424</v>
      </c>
    </row>
    <row r="70" spans="1:16" hidden="1" x14ac:dyDescent="0.35">
      <c r="A70" s="653" t="s">
        <v>425</v>
      </c>
    </row>
    <row r="71" spans="1:16" hidden="1" x14ac:dyDescent="0.35">
      <c r="A71" s="653" t="s">
        <v>426</v>
      </c>
    </row>
    <row r="72" spans="1:16" hidden="1" x14ac:dyDescent="0.35">
      <c r="A72" s="653" t="s">
        <v>427</v>
      </c>
    </row>
    <row r="73" spans="1:16" hidden="1" x14ac:dyDescent="0.35">
      <c r="A73" s="653" t="s">
        <v>428</v>
      </c>
    </row>
    <row r="74" spans="1:16" hidden="1" x14ac:dyDescent="0.35">
      <c r="A74" s="653" t="s">
        <v>429</v>
      </c>
    </row>
    <row r="75" spans="1:16" hidden="1" x14ac:dyDescent="0.35">
      <c r="A75" s="653" t="s">
        <v>430</v>
      </c>
    </row>
    <row r="76" spans="1:16" hidden="1" x14ac:dyDescent="0.35">
      <c r="A76" s="653" t="s">
        <v>431</v>
      </c>
    </row>
    <row r="77" spans="1:16" hidden="1" x14ac:dyDescent="0.35">
      <c r="A77" s="653" t="s">
        <v>432</v>
      </c>
    </row>
    <row r="78" spans="1:16" hidden="1" x14ac:dyDescent="0.35">
      <c r="A78" s="653" t="s">
        <v>433</v>
      </c>
    </row>
    <row r="79" spans="1:16" hidden="1" x14ac:dyDescent="0.35">
      <c r="A79" s="653" t="s">
        <v>434</v>
      </c>
    </row>
    <row r="80" spans="1:16" hidden="1" x14ac:dyDescent="0.35">
      <c r="A80" s="653" t="s">
        <v>435</v>
      </c>
    </row>
    <row r="81" spans="1:1" hidden="1" x14ac:dyDescent="0.35">
      <c r="A81" s="653" t="s">
        <v>436</v>
      </c>
    </row>
    <row r="82" spans="1:1" hidden="1" x14ac:dyDescent="0.35">
      <c r="A82" s="653" t="s">
        <v>437</v>
      </c>
    </row>
    <row r="83" spans="1:1" hidden="1" x14ac:dyDescent="0.35">
      <c r="A83" s="653" t="s">
        <v>438</v>
      </c>
    </row>
    <row r="84" spans="1:1" hidden="1" x14ac:dyDescent="0.35">
      <c r="A84" s="653" t="s">
        <v>439</v>
      </c>
    </row>
    <row r="85" spans="1:1" hidden="1" x14ac:dyDescent="0.35">
      <c r="A85" s="653" t="s">
        <v>440</v>
      </c>
    </row>
    <row r="86" spans="1:1" hidden="1" x14ac:dyDescent="0.35">
      <c r="A86" s="653" t="s">
        <v>441</v>
      </c>
    </row>
    <row r="87" spans="1:1" hidden="1" x14ac:dyDescent="0.35">
      <c r="A87" s="653" t="s">
        <v>442</v>
      </c>
    </row>
    <row r="88" spans="1:1" hidden="1" x14ac:dyDescent="0.35">
      <c r="A88" s="653" t="s">
        <v>443</v>
      </c>
    </row>
    <row r="89" spans="1:1" hidden="1" x14ac:dyDescent="0.35">
      <c r="A89" s="653" t="s">
        <v>444</v>
      </c>
    </row>
    <row r="90" spans="1:1" hidden="1" x14ac:dyDescent="0.35">
      <c r="A90" s="653" t="s">
        <v>445</v>
      </c>
    </row>
    <row r="91" spans="1:1" hidden="1" x14ac:dyDescent="0.35">
      <c r="A91" s="653" t="s">
        <v>446</v>
      </c>
    </row>
    <row r="92" spans="1:1" hidden="1" x14ac:dyDescent="0.35">
      <c r="A92" s="653" t="s">
        <v>447</v>
      </c>
    </row>
    <row r="93" spans="1:1" hidden="1" x14ac:dyDescent="0.35">
      <c r="A93" s="653" t="s">
        <v>448</v>
      </c>
    </row>
    <row r="94" spans="1:1" hidden="1" x14ac:dyDescent="0.35">
      <c r="A94" s="653" t="s">
        <v>449</v>
      </c>
    </row>
    <row r="95" spans="1:1" hidden="1" x14ac:dyDescent="0.35">
      <c r="A95" s="653" t="s">
        <v>450</v>
      </c>
    </row>
    <row r="96" spans="1:1" hidden="1" x14ac:dyDescent="0.35">
      <c r="A96" s="653" t="s">
        <v>451</v>
      </c>
    </row>
    <row r="97" spans="1:1" hidden="1" x14ac:dyDescent="0.35">
      <c r="A97" s="653" t="s">
        <v>452</v>
      </c>
    </row>
    <row r="98" spans="1:1" hidden="1" x14ac:dyDescent="0.35">
      <c r="A98" s="653" t="s">
        <v>453</v>
      </c>
    </row>
    <row r="99" spans="1:1" hidden="1" x14ac:dyDescent="0.35">
      <c r="A99" s="653" t="s">
        <v>454</v>
      </c>
    </row>
    <row r="100" spans="1:1" hidden="1" x14ac:dyDescent="0.35">
      <c r="A100" s="653" t="s">
        <v>455</v>
      </c>
    </row>
    <row r="101" spans="1:1" hidden="1" x14ac:dyDescent="0.35">
      <c r="A101" s="653" t="s">
        <v>456</v>
      </c>
    </row>
    <row r="102" spans="1:1" hidden="1" x14ac:dyDescent="0.35">
      <c r="A102" s="653" t="s">
        <v>457</v>
      </c>
    </row>
    <row r="103" spans="1:1" hidden="1" x14ac:dyDescent="0.35">
      <c r="A103" s="653" t="s">
        <v>458</v>
      </c>
    </row>
    <row r="104" spans="1:1" hidden="1" x14ac:dyDescent="0.35">
      <c r="A104" s="653" t="s">
        <v>459</v>
      </c>
    </row>
    <row r="105" spans="1:1" hidden="1" x14ac:dyDescent="0.35">
      <c r="A105" s="653" t="s">
        <v>460</v>
      </c>
    </row>
    <row r="106" spans="1:1" hidden="1" x14ac:dyDescent="0.35">
      <c r="A106" s="653" t="s">
        <v>461</v>
      </c>
    </row>
    <row r="107" spans="1:1" hidden="1" x14ac:dyDescent="0.35">
      <c r="A107" s="653" t="s">
        <v>462</v>
      </c>
    </row>
    <row r="108" spans="1:1" hidden="1" x14ac:dyDescent="0.35">
      <c r="A108" s="653" t="s">
        <v>463</v>
      </c>
    </row>
    <row r="109" spans="1:1" hidden="1" x14ac:dyDescent="0.35">
      <c r="A109" s="653" t="s">
        <v>464</v>
      </c>
    </row>
    <row r="110" spans="1:1" hidden="1" x14ac:dyDescent="0.35">
      <c r="A110" s="653" t="s">
        <v>465</v>
      </c>
    </row>
    <row r="111" spans="1:1" hidden="1" x14ac:dyDescent="0.35">
      <c r="A111" s="653" t="s">
        <v>466</v>
      </c>
    </row>
    <row r="112" spans="1:1" hidden="1" x14ac:dyDescent="0.35">
      <c r="A112" s="653" t="s">
        <v>467</v>
      </c>
    </row>
    <row r="113" spans="1:1" hidden="1" x14ac:dyDescent="0.35">
      <c r="A113" s="653" t="s">
        <v>468</v>
      </c>
    </row>
    <row r="114" spans="1:1" hidden="1" x14ac:dyDescent="0.35">
      <c r="A114" s="653" t="s">
        <v>469</v>
      </c>
    </row>
    <row r="115" spans="1:1" hidden="1" x14ac:dyDescent="0.35">
      <c r="A115" s="653" t="s">
        <v>470</v>
      </c>
    </row>
    <row r="116" spans="1:1" hidden="1" x14ac:dyDescent="0.35">
      <c r="A116" s="653" t="s">
        <v>471</v>
      </c>
    </row>
    <row r="117" spans="1:1" hidden="1" x14ac:dyDescent="0.35">
      <c r="A117" s="653" t="s">
        <v>472</v>
      </c>
    </row>
    <row r="118" spans="1:1" hidden="1" x14ac:dyDescent="0.35">
      <c r="A118" s="653" t="s">
        <v>473</v>
      </c>
    </row>
    <row r="119" spans="1:1" hidden="1" x14ac:dyDescent="0.35">
      <c r="A119" s="653" t="s">
        <v>474</v>
      </c>
    </row>
    <row r="120" spans="1:1" hidden="1" x14ac:dyDescent="0.35">
      <c r="A120" s="653" t="s">
        <v>475</v>
      </c>
    </row>
    <row r="121" spans="1:1" hidden="1" x14ac:dyDescent="0.35">
      <c r="A121" s="653" t="s">
        <v>476</v>
      </c>
    </row>
    <row r="122" spans="1:1" hidden="1" x14ac:dyDescent="0.35">
      <c r="A122" s="653" t="s">
        <v>477</v>
      </c>
    </row>
    <row r="123" spans="1:1" hidden="1" x14ac:dyDescent="0.35">
      <c r="A123" s="653" t="s">
        <v>478</v>
      </c>
    </row>
    <row r="124" spans="1:1" hidden="1" x14ac:dyDescent="0.35">
      <c r="A124" s="658" t="s">
        <v>479</v>
      </c>
    </row>
    <row r="125" spans="1:1" hidden="1" x14ac:dyDescent="0.35">
      <c r="A125" s="658" t="s">
        <v>480</v>
      </c>
    </row>
    <row r="126" spans="1:1" hidden="1" x14ac:dyDescent="0.35">
      <c r="A126" s="658" t="s">
        <v>481</v>
      </c>
    </row>
    <row r="127" spans="1:1" hidden="1" x14ac:dyDescent="0.35">
      <c r="A127" s="658" t="s">
        <v>482</v>
      </c>
    </row>
    <row r="128" spans="1:1" hidden="1" x14ac:dyDescent="0.35">
      <c r="A128" s="658" t="s">
        <v>483</v>
      </c>
    </row>
    <row r="129" spans="1:1" hidden="1" x14ac:dyDescent="0.35">
      <c r="A129" s="658" t="s">
        <v>484</v>
      </c>
    </row>
    <row r="130" spans="1:1" hidden="1" x14ac:dyDescent="0.35">
      <c r="A130" s="658" t="s">
        <v>485</v>
      </c>
    </row>
    <row r="131" spans="1:1" hidden="1" x14ac:dyDescent="0.35">
      <c r="A131" s="658" t="s">
        <v>486</v>
      </c>
    </row>
    <row r="132" spans="1:1" hidden="1" x14ac:dyDescent="0.35">
      <c r="A132" s="740" t="s">
        <v>487</v>
      </c>
    </row>
    <row r="133" spans="1:1" hidden="1" x14ac:dyDescent="0.35">
      <c r="A133" s="740" t="s">
        <v>488</v>
      </c>
    </row>
    <row r="134" spans="1:1" hidden="1" x14ac:dyDescent="0.35">
      <c r="A134" s="740" t="s">
        <v>489</v>
      </c>
    </row>
    <row r="135" spans="1:1" hidden="1" x14ac:dyDescent="0.35">
      <c r="A135" s="740" t="s">
        <v>490</v>
      </c>
    </row>
    <row r="136" spans="1:1" hidden="1" x14ac:dyDescent="0.35">
      <c r="A136" s="740" t="s">
        <v>491</v>
      </c>
    </row>
    <row r="137" spans="1:1" hidden="1" x14ac:dyDescent="0.35">
      <c r="A137" s="740" t="s">
        <v>492</v>
      </c>
    </row>
    <row r="138" spans="1:1" hidden="1" x14ac:dyDescent="0.35">
      <c r="A138" s="740" t="s">
        <v>493</v>
      </c>
    </row>
    <row r="139" spans="1:1" hidden="1" x14ac:dyDescent="0.35">
      <c r="A139" s="740" t="s">
        <v>494</v>
      </c>
    </row>
    <row r="140" spans="1:1" hidden="1" x14ac:dyDescent="0.35">
      <c r="A140" s="740" t="s">
        <v>495</v>
      </c>
    </row>
    <row r="141" spans="1:1" hidden="1" x14ac:dyDescent="0.35">
      <c r="A141" s="740" t="s">
        <v>496</v>
      </c>
    </row>
    <row r="142" spans="1:1" hidden="1" x14ac:dyDescent="0.35">
      <c r="A142" s="740" t="s">
        <v>497</v>
      </c>
    </row>
    <row r="143" spans="1:1" hidden="1" x14ac:dyDescent="0.35">
      <c r="A143" s="740" t="s">
        <v>498</v>
      </c>
    </row>
    <row r="144" spans="1:1" hidden="1" x14ac:dyDescent="0.35">
      <c r="A144" s="740" t="s">
        <v>499</v>
      </c>
    </row>
    <row r="145" spans="1:1" hidden="1" x14ac:dyDescent="0.35">
      <c r="A145" s="740" t="s">
        <v>500</v>
      </c>
    </row>
    <row r="146" spans="1:1" hidden="1" x14ac:dyDescent="0.35">
      <c r="A146" s="740" t="s">
        <v>501</v>
      </c>
    </row>
    <row r="147" spans="1:1" hidden="1" x14ac:dyDescent="0.35">
      <c r="A147" s="740" t="s">
        <v>502</v>
      </c>
    </row>
    <row r="148" spans="1:1" hidden="1" x14ac:dyDescent="0.35">
      <c r="A148" s="740" t="s">
        <v>503</v>
      </c>
    </row>
    <row r="149" spans="1:1" hidden="1" x14ac:dyDescent="0.35">
      <c r="A149" s="740" t="s">
        <v>504</v>
      </c>
    </row>
    <row r="150" spans="1:1" hidden="1" x14ac:dyDescent="0.35">
      <c r="A150" s="740" t="s">
        <v>505</v>
      </c>
    </row>
    <row r="151" spans="1:1" hidden="1" x14ac:dyDescent="0.35">
      <c r="A151" s="740" t="s">
        <v>506</v>
      </c>
    </row>
    <row r="152" spans="1:1" hidden="1" x14ac:dyDescent="0.35">
      <c r="A152" s="740" t="s">
        <v>507</v>
      </c>
    </row>
    <row r="153" spans="1:1" hidden="1" x14ac:dyDescent="0.35">
      <c r="A153" s="740" t="s">
        <v>508</v>
      </c>
    </row>
    <row r="154" spans="1:1" hidden="1" x14ac:dyDescent="0.35">
      <c r="A154" s="740" t="s">
        <v>509</v>
      </c>
    </row>
    <row r="155" spans="1:1" hidden="1" x14ac:dyDescent="0.35">
      <c r="A155" s="740" t="s">
        <v>510</v>
      </c>
    </row>
    <row r="156" spans="1:1" hidden="1" x14ac:dyDescent="0.35">
      <c r="A156" s="740" t="s">
        <v>511</v>
      </c>
    </row>
    <row r="157" spans="1:1" hidden="1" x14ac:dyDescent="0.35">
      <c r="A157" s="740" t="s">
        <v>512</v>
      </c>
    </row>
    <row r="158" spans="1:1" hidden="1" x14ac:dyDescent="0.35">
      <c r="A158" s="740" t="s">
        <v>513</v>
      </c>
    </row>
    <row r="159" spans="1:1" hidden="1" x14ac:dyDescent="0.35">
      <c r="A159" s="740" t="s">
        <v>514</v>
      </c>
    </row>
    <row r="160" spans="1:1" hidden="1" x14ac:dyDescent="0.35">
      <c r="A160" s="740" t="s">
        <v>515</v>
      </c>
    </row>
    <row r="161" spans="1:1" hidden="1" x14ac:dyDescent="0.35">
      <c r="A161" s="740" t="s">
        <v>516</v>
      </c>
    </row>
    <row r="162" spans="1:1" hidden="1" x14ac:dyDescent="0.35">
      <c r="A162" s="740" t="s">
        <v>517</v>
      </c>
    </row>
    <row r="163" spans="1:1" hidden="1" x14ac:dyDescent="0.35">
      <c r="A163" s="740" t="s">
        <v>518</v>
      </c>
    </row>
    <row r="164" spans="1:1" hidden="1" x14ac:dyDescent="0.35">
      <c r="A164" s="740" t="s">
        <v>519</v>
      </c>
    </row>
    <row r="165" spans="1:1" hidden="1" x14ac:dyDescent="0.35">
      <c r="A165" s="740" t="s">
        <v>520</v>
      </c>
    </row>
    <row r="166" spans="1:1" hidden="1" x14ac:dyDescent="0.35">
      <c r="A166" s="740" t="s">
        <v>521</v>
      </c>
    </row>
    <row r="167" spans="1:1" hidden="1" x14ac:dyDescent="0.35">
      <c r="A167" s="740" t="s">
        <v>522</v>
      </c>
    </row>
    <row r="168" spans="1:1" hidden="1" x14ac:dyDescent="0.35">
      <c r="A168" s="740" t="s">
        <v>523</v>
      </c>
    </row>
    <row r="169" spans="1:1" hidden="1" x14ac:dyDescent="0.35">
      <c r="A169" s="740" t="s">
        <v>524</v>
      </c>
    </row>
    <row r="170" spans="1:1" hidden="1" x14ac:dyDescent="0.35">
      <c r="A170" s="740" t="s">
        <v>525</v>
      </c>
    </row>
    <row r="171" spans="1:1" hidden="1" x14ac:dyDescent="0.35">
      <c r="A171" s="740" t="s">
        <v>526</v>
      </c>
    </row>
    <row r="172" spans="1:1" hidden="1" x14ac:dyDescent="0.35">
      <c r="A172" s="740" t="s">
        <v>527</v>
      </c>
    </row>
    <row r="173" spans="1:1" hidden="1" x14ac:dyDescent="0.35">
      <c r="A173" s="740" t="s">
        <v>528</v>
      </c>
    </row>
    <row r="174" spans="1:1" hidden="1" x14ac:dyDescent="0.35">
      <c r="A174" s="740" t="s">
        <v>529</v>
      </c>
    </row>
    <row r="175" spans="1:1" hidden="1" x14ac:dyDescent="0.35">
      <c r="A175" s="740" t="s">
        <v>530</v>
      </c>
    </row>
    <row r="176" spans="1:1" hidden="1" x14ac:dyDescent="0.35">
      <c r="A176" s="740" t="s">
        <v>531</v>
      </c>
    </row>
    <row r="177" spans="1:1" hidden="1" x14ac:dyDescent="0.35">
      <c r="A177" s="740" t="s">
        <v>532</v>
      </c>
    </row>
    <row r="178" spans="1:1" hidden="1" x14ac:dyDescent="0.35">
      <c r="A178" s="740" t="s">
        <v>533</v>
      </c>
    </row>
    <row r="179" spans="1:1" hidden="1" x14ac:dyDescent="0.35">
      <c r="A179" s="740" t="s">
        <v>534</v>
      </c>
    </row>
    <row r="180" spans="1:1" hidden="1" x14ac:dyDescent="0.35">
      <c r="A180" s="740" t="s">
        <v>535</v>
      </c>
    </row>
    <row r="181" spans="1:1" hidden="1" x14ac:dyDescent="0.35">
      <c r="A181" s="740" t="s">
        <v>536</v>
      </c>
    </row>
    <row r="182" spans="1:1" hidden="1" x14ac:dyDescent="0.35">
      <c r="A182" s="740" t="s">
        <v>537</v>
      </c>
    </row>
    <row r="183" spans="1:1" hidden="1" x14ac:dyDescent="0.35">
      <c r="A183" s="740" t="s">
        <v>538</v>
      </c>
    </row>
    <row r="184" spans="1:1" hidden="1" x14ac:dyDescent="0.35">
      <c r="A184" s="740" t="s">
        <v>539</v>
      </c>
    </row>
    <row r="185" spans="1:1" hidden="1" x14ac:dyDescent="0.35">
      <c r="A185" s="740" t="s">
        <v>540</v>
      </c>
    </row>
    <row r="186" spans="1:1" hidden="1" x14ac:dyDescent="0.35">
      <c r="A186" s="740" t="s">
        <v>541</v>
      </c>
    </row>
    <row r="187" spans="1:1" hidden="1" x14ac:dyDescent="0.35">
      <c r="A187" s="740" t="s">
        <v>542</v>
      </c>
    </row>
    <row r="188" spans="1:1" hidden="1" x14ac:dyDescent="0.35">
      <c r="A188" s="740" t="s">
        <v>543</v>
      </c>
    </row>
    <row r="189" spans="1:1" hidden="1" x14ac:dyDescent="0.35">
      <c r="A189" s="740" t="s">
        <v>544</v>
      </c>
    </row>
    <row r="190" spans="1:1" hidden="1" x14ac:dyDescent="0.35">
      <c r="A190" s="740" t="s">
        <v>545</v>
      </c>
    </row>
    <row r="191" spans="1:1" hidden="1" x14ac:dyDescent="0.35">
      <c r="A191" s="740" t="s">
        <v>546</v>
      </c>
    </row>
    <row r="192" spans="1:1" hidden="1" x14ac:dyDescent="0.35">
      <c r="A192" s="740" t="s">
        <v>547</v>
      </c>
    </row>
    <row r="193" spans="1:1" hidden="1" x14ac:dyDescent="0.35">
      <c r="A193" s="740" t="s">
        <v>548</v>
      </c>
    </row>
    <row r="194" spans="1:1" hidden="1" x14ac:dyDescent="0.35">
      <c r="A194" s="740" t="s">
        <v>549</v>
      </c>
    </row>
    <row r="195" spans="1:1" hidden="1" x14ac:dyDescent="0.35">
      <c r="A195" s="740" t="s">
        <v>550</v>
      </c>
    </row>
    <row r="196" spans="1:1" hidden="1" x14ac:dyDescent="0.35">
      <c r="A196" s="740" t="s">
        <v>551</v>
      </c>
    </row>
    <row r="197" spans="1:1" hidden="1" x14ac:dyDescent="0.35">
      <c r="A197" s="740" t="s">
        <v>552</v>
      </c>
    </row>
    <row r="198" spans="1:1" hidden="1" x14ac:dyDescent="0.35">
      <c r="A198" s="740" t="s">
        <v>553</v>
      </c>
    </row>
    <row r="199" spans="1:1" hidden="1" x14ac:dyDescent="0.35">
      <c r="A199" s="740" t="s">
        <v>554</v>
      </c>
    </row>
    <row r="200" spans="1:1" hidden="1" x14ac:dyDescent="0.35">
      <c r="A200" s="740" t="s">
        <v>555</v>
      </c>
    </row>
    <row r="201" spans="1:1" hidden="1" x14ac:dyDescent="0.35">
      <c r="A201" s="740" t="s">
        <v>556</v>
      </c>
    </row>
    <row r="202" spans="1:1" hidden="1" x14ac:dyDescent="0.35">
      <c r="A202" s="740" t="s">
        <v>557</v>
      </c>
    </row>
    <row r="203" spans="1:1" hidden="1" x14ac:dyDescent="0.35">
      <c r="A203" s="740" t="s">
        <v>558</v>
      </c>
    </row>
    <row r="204" spans="1:1" hidden="1" x14ac:dyDescent="0.35">
      <c r="A204" s="740" t="s">
        <v>559</v>
      </c>
    </row>
    <row r="205" spans="1:1" hidden="1" x14ac:dyDescent="0.35">
      <c r="A205" s="740" t="s">
        <v>560</v>
      </c>
    </row>
    <row r="206" spans="1:1" hidden="1" x14ac:dyDescent="0.35">
      <c r="A206" s="740" t="s">
        <v>561</v>
      </c>
    </row>
    <row r="207" spans="1:1" hidden="1" x14ac:dyDescent="0.35">
      <c r="A207" s="740" t="s">
        <v>562</v>
      </c>
    </row>
    <row r="208" spans="1:1" hidden="1" x14ac:dyDescent="0.35">
      <c r="A208" s="740" t="s">
        <v>563</v>
      </c>
    </row>
    <row r="209" spans="1:1" hidden="1" x14ac:dyDescent="0.35">
      <c r="A209" s="740" t="s">
        <v>564</v>
      </c>
    </row>
    <row r="210" spans="1:1" hidden="1" x14ac:dyDescent="0.35">
      <c r="A210" s="740" t="s">
        <v>565</v>
      </c>
    </row>
    <row r="211" spans="1:1" hidden="1" x14ac:dyDescent="0.35">
      <c r="A211" s="740" t="s">
        <v>566</v>
      </c>
    </row>
    <row r="212" spans="1:1" hidden="1" x14ac:dyDescent="0.35">
      <c r="A212" s="740" t="s">
        <v>567</v>
      </c>
    </row>
    <row r="213" spans="1:1" hidden="1" x14ac:dyDescent="0.35">
      <c r="A213" s="740" t="s">
        <v>568</v>
      </c>
    </row>
    <row r="214" spans="1:1" hidden="1" x14ac:dyDescent="0.35">
      <c r="A214" s="740" t="s">
        <v>569</v>
      </c>
    </row>
    <row r="215" spans="1:1" hidden="1" x14ac:dyDescent="0.35">
      <c r="A215" s="740" t="s">
        <v>570</v>
      </c>
    </row>
    <row r="216" spans="1:1" hidden="1" x14ac:dyDescent="0.35">
      <c r="A216" s="740" t="s">
        <v>571</v>
      </c>
    </row>
    <row r="217" spans="1:1" hidden="1" x14ac:dyDescent="0.35">
      <c r="A217" s="740" t="s">
        <v>572</v>
      </c>
    </row>
    <row r="218" spans="1:1" hidden="1" x14ac:dyDescent="0.35">
      <c r="A218" s="740" t="s">
        <v>573</v>
      </c>
    </row>
    <row r="219" spans="1:1" hidden="1" x14ac:dyDescent="0.35">
      <c r="A219" s="740" t="s">
        <v>574</v>
      </c>
    </row>
    <row r="220" spans="1:1" hidden="1" x14ac:dyDescent="0.35">
      <c r="A220" s="740" t="s">
        <v>575</v>
      </c>
    </row>
    <row r="221" spans="1:1" hidden="1" x14ac:dyDescent="0.35">
      <c r="A221" s="740" t="s">
        <v>576</v>
      </c>
    </row>
    <row r="222" spans="1:1" hidden="1" x14ac:dyDescent="0.35">
      <c r="A222" s="740" t="s">
        <v>577</v>
      </c>
    </row>
    <row r="223" spans="1:1" hidden="1" x14ac:dyDescent="0.35">
      <c r="A223" s="740" t="s">
        <v>578</v>
      </c>
    </row>
    <row r="224" spans="1:1" hidden="1" x14ac:dyDescent="0.35">
      <c r="A224" s="740" t="s">
        <v>579</v>
      </c>
    </row>
    <row r="225" spans="1:1" hidden="1" x14ac:dyDescent="0.35">
      <c r="A225" s="740" t="s">
        <v>580</v>
      </c>
    </row>
    <row r="226" spans="1:1" hidden="1" x14ac:dyDescent="0.35">
      <c r="A226" s="740" t="s">
        <v>581</v>
      </c>
    </row>
    <row r="227" spans="1:1" hidden="1" x14ac:dyDescent="0.35">
      <c r="A227" s="740" t="s">
        <v>582</v>
      </c>
    </row>
    <row r="228" spans="1:1" hidden="1" x14ac:dyDescent="0.35">
      <c r="A228" s="740" t="s">
        <v>583</v>
      </c>
    </row>
    <row r="229" spans="1:1" hidden="1" x14ac:dyDescent="0.35">
      <c r="A229" s="740" t="s">
        <v>584</v>
      </c>
    </row>
    <row r="230" spans="1:1" hidden="1" x14ac:dyDescent="0.35">
      <c r="A230" s="740" t="s">
        <v>585</v>
      </c>
    </row>
    <row r="231" spans="1:1" hidden="1" x14ac:dyDescent="0.35">
      <c r="A231" s="740" t="s">
        <v>586</v>
      </c>
    </row>
    <row r="232" spans="1:1" hidden="1" x14ac:dyDescent="0.35">
      <c r="A232" s="740" t="s">
        <v>587</v>
      </c>
    </row>
    <row r="233" spans="1:1" hidden="1" x14ac:dyDescent="0.35">
      <c r="A233" s="740" t="s">
        <v>588</v>
      </c>
    </row>
    <row r="234" spans="1:1" hidden="1" x14ac:dyDescent="0.35">
      <c r="A234" s="740" t="s">
        <v>589</v>
      </c>
    </row>
    <row r="235" spans="1:1" hidden="1" x14ac:dyDescent="0.35">
      <c r="A235" s="740" t="s">
        <v>590</v>
      </c>
    </row>
    <row r="236" spans="1:1" hidden="1" x14ac:dyDescent="0.35">
      <c r="A236" s="740" t="s">
        <v>591</v>
      </c>
    </row>
    <row r="237" spans="1:1" hidden="1" x14ac:dyDescent="0.35">
      <c r="A237" s="740" t="s">
        <v>592</v>
      </c>
    </row>
    <row r="238" spans="1:1" hidden="1" x14ac:dyDescent="0.35">
      <c r="A238" s="740" t="s">
        <v>593</v>
      </c>
    </row>
    <row r="239" spans="1:1" hidden="1" x14ac:dyDescent="0.35">
      <c r="A239" s="740" t="s">
        <v>594</v>
      </c>
    </row>
    <row r="240" spans="1:1" hidden="1" x14ac:dyDescent="0.35">
      <c r="A240" s="740" t="s">
        <v>595</v>
      </c>
    </row>
    <row r="241" spans="1:1" hidden="1" x14ac:dyDescent="0.35">
      <c r="A241" s="740" t="s">
        <v>596</v>
      </c>
    </row>
    <row r="242" spans="1:1" hidden="1" x14ac:dyDescent="0.35">
      <c r="A242" s="740" t="s">
        <v>597</v>
      </c>
    </row>
    <row r="243" spans="1:1" hidden="1" x14ac:dyDescent="0.35">
      <c r="A243" s="740" t="s">
        <v>598</v>
      </c>
    </row>
    <row r="244" spans="1:1" hidden="1" x14ac:dyDescent="0.35">
      <c r="A244" s="740" t="s">
        <v>599</v>
      </c>
    </row>
    <row r="245" spans="1:1" hidden="1" x14ac:dyDescent="0.35">
      <c r="A245" s="740" t="s">
        <v>600</v>
      </c>
    </row>
    <row r="246" spans="1:1" hidden="1" x14ac:dyDescent="0.35">
      <c r="A246" s="740" t="s">
        <v>601</v>
      </c>
    </row>
    <row r="247" spans="1:1" hidden="1" x14ac:dyDescent="0.35">
      <c r="A247" s="740" t="s">
        <v>602</v>
      </c>
    </row>
    <row r="248" spans="1:1" hidden="1" x14ac:dyDescent="0.35">
      <c r="A248" s="740" t="s">
        <v>603</v>
      </c>
    </row>
    <row r="249" spans="1:1" hidden="1" x14ac:dyDescent="0.35">
      <c r="A249" s="740" t="s">
        <v>604</v>
      </c>
    </row>
    <row r="250" spans="1:1" hidden="1" x14ac:dyDescent="0.35">
      <c r="A250" s="740" t="s">
        <v>605</v>
      </c>
    </row>
    <row r="251" spans="1:1" hidden="1" x14ac:dyDescent="0.35">
      <c r="A251" s="740" t="s">
        <v>606</v>
      </c>
    </row>
    <row r="252" spans="1:1" hidden="1" x14ac:dyDescent="0.35">
      <c r="A252" s="740" t="s">
        <v>607</v>
      </c>
    </row>
    <row r="253" spans="1:1" hidden="1" x14ac:dyDescent="0.35">
      <c r="A253" s="740" t="s">
        <v>608</v>
      </c>
    </row>
    <row r="254" spans="1:1" hidden="1" x14ac:dyDescent="0.35">
      <c r="A254" s="740" t="s">
        <v>609</v>
      </c>
    </row>
    <row r="255" spans="1:1" hidden="1" x14ac:dyDescent="0.35">
      <c r="A255" s="740" t="s">
        <v>610</v>
      </c>
    </row>
    <row r="256" spans="1:1" hidden="1" x14ac:dyDescent="0.35">
      <c r="A256" s="740" t="s">
        <v>611</v>
      </c>
    </row>
    <row r="257" spans="1:1" hidden="1" x14ac:dyDescent="0.35">
      <c r="A257" s="740" t="s">
        <v>612</v>
      </c>
    </row>
    <row r="258" spans="1:1" hidden="1" x14ac:dyDescent="0.35">
      <c r="A258" s="740" t="s">
        <v>613</v>
      </c>
    </row>
    <row r="259" spans="1:1" hidden="1" x14ac:dyDescent="0.35">
      <c r="A259" s="740" t="s">
        <v>614</v>
      </c>
    </row>
    <row r="260" spans="1:1" hidden="1" x14ac:dyDescent="0.35">
      <c r="A260" s="740" t="s">
        <v>615</v>
      </c>
    </row>
    <row r="261" spans="1:1" hidden="1" x14ac:dyDescent="0.35">
      <c r="A261" s="740" t="s">
        <v>616</v>
      </c>
    </row>
    <row r="262" spans="1:1" hidden="1" x14ac:dyDescent="0.35">
      <c r="A262" s="740" t="s">
        <v>617</v>
      </c>
    </row>
    <row r="263" spans="1:1" hidden="1" x14ac:dyDescent="0.35">
      <c r="A263" s="740" t="s">
        <v>618</v>
      </c>
    </row>
    <row r="264" spans="1:1" hidden="1" x14ac:dyDescent="0.35">
      <c r="A264" s="740" t="s">
        <v>619</v>
      </c>
    </row>
    <row r="265" spans="1:1" hidden="1" x14ac:dyDescent="0.35">
      <c r="A265" s="740" t="s">
        <v>620</v>
      </c>
    </row>
    <row r="266" spans="1:1" hidden="1" x14ac:dyDescent="0.35">
      <c r="A266" s="740" t="s">
        <v>621</v>
      </c>
    </row>
    <row r="267" spans="1:1" hidden="1" x14ac:dyDescent="0.35">
      <c r="A267" s="740" t="s">
        <v>622</v>
      </c>
    </row>
    <row r="268" spans="1:1" hidden="1" x14ac:dyDescent="0.35">
      <c r="A268" s="740" t="s">
        <v>623</v>
      </c>
    </row>
    <row r="269" spans="1:1" hidden="1" x14ac:dyDescent="0.35">
      <c r="A269" s="740" t="s">
        <v>624</v>
      </c>
    </row>
    <row r="270" spans="1:1" hidden="1" x14ac:dyDescent="0.35">
      <c r="A270" s="740" t="s">
        <v>625</v>
      </c>
    </row>
    <row r="271" spans="1:1" hidden="1" x14ac:dyDescent="0.35">
      <c r="A271" s="740" t="s">
        <v>626</v>
      </c>
    </row>
    <row r="272" spans="1:1" hidden="1" x14ac:dyDescent="0.35">
      <c r="A272" s="740" t="s">
        <v>627</v>
      </c>
    </row>
    <row r="273" spans="1:1" hidden="1" x14ac:dyDescent="0.35">
      <c r="A273" s="740" t="s">
        <v>628</v>
      </c>
    </row>
    <row r="274" spans="1:1" hidden="1" x14ac:dyDescent="0.35">
      <c r="A274" s="740" t="s">
        <v>629</v>
      </c>
    </row>
    <row r="275" spans="1:1" hidden="1" x14ac:dyDescent="0.35">
      <c r="A275" s="740" t="s">
        <v>630</v>
      </c>
    </row>
    <row r="276" spans="1:1" hidden="1" x14ac:dyDescent="0.35">
      <c r="A276" s="740" t="s">
        <v>631</v>
      </c>
    </row>
    <row r="277" spans="1:1" hidden="1" x14ac:dyDescent="0.35">
      <c r="A277" s="740" t="s">
        <v>632</v>
      </c>
    </row>
    <row r="278" spans="1:1" hidden="1" x14ac:dyDescent="0.35">
      <c r="A278" s="740" t="s">
        <v>633</v>
      </c>
    </row>
    <row r="279" spans="1:1" hidden="1" x14ac:dyDescent="0.35">
      <c r="A279" s="740" t="s">
        <v>387</v>
      </c>
    </row>
    <row r="280" spans="1:1" hidden="1" x14ac:dyDescent="0.35">
      <c r="A280" s="740" t="s">
        <v>634</v>
      </c>
    </row>
    <row r="281" spans="1:1" hidden="1" x14ac:dyDescent="0.35">
      <c r="A281" s="740" t="s">
        <v>635</v>
      </c>
    </row>
    <row r="282" spans="1:1" hidden="1" x14ac:dyDescent="0.35">
      <c r="A282" s="740" t="s">
        <v>636</v>
      </c>
    </row>
    <row r="283" spans="1:1" hidden="1" x14ac:dyDescent="0.35">
      <c r="A283" s="740" t="s">
        <v>637</v>
      </c>
    </row>
    <row r="284" spans="1:1" hidden="1" x14ac:dyDescent="0.35">
      <c r="A284" s="740" t="s">
        <v>638</v>
      </c>
    </row>
    <row r="285" spans="1:1" hidden="1" x14ac:dyDescent="0.35">
      <c r="A285" s="740" t="s">
        <v>639</v>
      </c>
    </row>
    <row r="286" spans="1:1" hidden="1" x14ac:dyDescent="0.35">
      <c r="A286" s="740" t="s">
        <v>640</v>
      </c>
    </row>
    <row r="287" spans="1:1" hidden="1" x14ac:dyDescent="0.35">
      <c r="A287" s="740" t="s">
        <v>641</v>
      </c>
    </row>
    <row r="288" spans="1:1" hidden="1" x14ac:dyDescent="0.35">
      <c r="A288" s="740" t="s">
        <v>642</v>
      </c>
    </row>
    <row r="289" spans="1:1" hidden="1" x14ac:dyDescent="0.35">
      <c r="A289" s="740" t="s">
        <v>643</v>
      </c>
    </row>
    <row r="290" spans="1:1" hidden="1" x14ac:dyDescent="0.35">
      <c r="A290" s="740" t="s">
        <v>644</v>
      </c>
    </row>
    <row r="291" spans="1:1" hidden="1" x14ac:dyDescent="0.35">
      <c r="A291" s="740" t="s">
        <v>645</v>
      </c>
    </row>
    <row r="292" spans="1:1" hidden="1" x14ac:dyDescent="0.35">
      <c r="A292" s="740" t="s">
        <v>646</v>
      </c>
    </row>
    <row r="293" spans="1:1" hidden="1" x14ac:dyDescent="0.35">
      <c r="A293" s="740" t="s">
        <v>647</v>
      </c>
    </row>
    <row r="294" spans="1:1" hidden="1" x14ac:dyDescent="0.35">
      <c r="A294" s="740" t="s">
        <v>648</v>
      </c>
    </row>
    <row r="295" spans="1:1" hidden="1" x14ac:dyDescent="0.35">
      <c r="A295" s="740" t="s">
        <v>649</v>
      </c>
    </row>
    <row r="296" spans="1:1" hidden="1" x14ac:dyDescent="0.35">
      <c r="A296" s="740" t="s">
        <v>650</v>
      </c>
    </row>
    <row r="297" spans="1:1" hidden="1" x14ac:dyDescent="0.35">
      <c r="A297" s="740" t="s">
        <v>651</v>
      </c>
    </row>
    <row r="298" spans="1:1" hidden="1" x14ac:dyDescent="0.35">
      <c r="A298" s="740" t="s">
        <v>652</v>
      </c>
    </row>
    <row r="299" spans="1:1" hidden="1" x14ac:dyDescent="0.35">
      <c r="A299" s="740" t="s">
        <v>653</v>
      </c>
    </row>
    <row r="300" spans="1:1" hidden="1" x14ac:dyDescent="0.35">
      <c r="A300" s="740" t="s">
        <v>654</v>
      </c>
    </row>
    <row r="301" spans="1:1" hidden="1" x14ac:dyDescent="0.35">
      <c r="A301" s="740" t="s">
        <v>655</v>
      </c>
    </row>
    <row r="302" spans="1:1" hidden="1" x14ac:dyDescent="0.35">
      <c r="A302" s="740" t="s">
        <v>656</v>
      </c>
    </row>
    <row r="303" spans="1:1" hidden="1" x14ac:dyDescent="0.35">
      <c r="A303" s="740" t="s">
        <v>657</v>
      </c>
    </row>
    <row r="304" spans="1:1" hidden="1" x14ac:dyDescent="0.35">
      <c r="A304" s="740" t="s">
        <v>658</v>
      </c>
    </row>
    <row r="305" spans="1:1" hidden="1" x14ac:dyDescent="0.35">
      <c r="A305" s="740" t="s">
        <v>659</v>
      </c>
    </row>
    <row r="306" spans="1:1" hidden="1" x14ac:dyDescent="0.35">
      <c r="A306" s="740" t="s">
        <v>660</v>
      </c>
    </row>
    <row r="307" spans="1:1" hidden="1" x14ac:dyDescent="0.35">
      <c r="A307" s="740" t="s">
        <v>661</v>
      </c>
    </row>
    <row r="308" spans="1:1" hidden="1" x14ac:dyDescent="0.35">
      <c r="A308" s="740" t="s">
        <v>662</v>
      </c>
    </row>
    <row r="309" spans="1:1" hidden="1" x14ac:dyDescent="0.35">
      <c r="A309" s="740" t="s">
        <v>663</v>
      </c>
    </row>
    <row r="310" spans="1:1" hidden="1" x14ac:dyDescent="0.35">
      <c r="A310" s="740" t="s">
        <v>664</v>
      </c>
    </row>
    <row r="311" spans="1:1" hidden="1" x14ac:dyDescent="0.35">
      <c r="A311" s="740" t="s">
        <v>665</v>
      </c>
    </row>
    <row r="312" spans="1:1" hidden="1" x14ac:dyDescent="0.35">
      <c r="A312" s="740" t="s">
        <v>666</v>
      </c>
    </row>
    <row r="313" spans="1:1" hidden="1" x14ac:dyDescent="0.35">
      <c r="A313" s="740" t="s">
        <v>667</v>
      </c>
    </row>
    <row r="314" spans="1:1" hidden="1" x14ac:dyDescent="0.35">
      <c r="A314" s="740" t="s">
        <v>668</v>
      </c>
    </row>
    <row r="315" spans="1:1" hidden="1" x14ac:dyDescent="0.35">
      <c r="A315" s="740" t="s">
        <v>669</v>
      </c>
    </row>
    <row r="316" spans="1:1" hidden="1" x14ac:dyDescent="0.35">
      <c r="A316" s="740" t="s">
        <v>670</v>
      </c>
    </row>
    <row r="317" spans="1:1" hidden="1" x14ac:dyDescent="0.35">
      <c r="A317" s="740" t="s">
        <v>671</v>
      </c>
    </row>
    <row r="318" spans="1:1" hidden="1" x14ac:dyDescent="0.35">
      <c r="A318" s="740" t="s">
        <v>672</v>
      </c>
    </row>
    <row r="319" spans="1:1" hidden="1" x14ac:dyDescent="0.35">
      <c r="A319" s="740" t="s">
        <v>673</v>
      </c>
    </row>
    <row r="320" spans="1:1" hidden="1" x14ac:dyDescent="0.35">
      <c r="A320" s="740" t="s">
        <v>674</v>
      </c>
    </row>
    <row r="321" spans="1:1" hidden="1" x14ac:dyDescent="0.35">
      <c r="A321" s="740" t="s">
        <v>675</v>
      </c>
    </row>
    <row r="322" spans="1:1" hidden="1" x14ac:dyDescent="0.35">
      <c r="A322" s="740" t="s">
        <v>676</v>
      </c>
    </row>
    <row r="323" spans="1:1" hidden="1" x14ac:dyDescent="0.35">
      <c r="A323" s="740" t="s">
        <v>677</v>
      </c>
    </row>
    <row r="324" spans="1:1" hidden="1" x14ac:dyDescent="0.35">
      <c r="A324" s="740" t="s">
        <v>678</v>
      </c>
    </row>
    <row r="325" spans="1:1" hidden="1" x14ac:dyDescent="0.35">
      <c r="A325" s="740" t="s">
        <v>679</v>
      </c>
    </row>
    <row r="326" spans="1:1" hidden="1" x14ac:dyDescent="0.35">
      <c r="A326" s="740" t="s">
        <v>680</v>
      </c>
    </row>
    <row r="327" spans="1:1" hidden="1" x14ac:dyDescent="0.35">
      <c r="A327" s="740" t="s">
        <v>681</v>
      </c>
    </row>
    <row r="328" spans="1:1" hidden="1" x14ac:dyDescent="0.35">
      <c r="A328" s="740" t="s">
        <v>682</v>
      </c>
    </row>
    <row r="329" spans="1:1" hidden="1" x14ac:dyDescent="0.35">
      <c r="A329" s="740" t="s">
        <v>683</v>
      </c>
    </row>
    <row r="330" spans="1:1" hidden="1" x14ac:dyDescent="0.35">
      <c r="A330" s="740" t="s">
        <v>684</v>
      </c>
    </row>
    <row r="331" spans="1:1" hidden="1" x14ac:dyDescent="0.35">
      <c r="A331" s="740" t="s">
        <v>685</v>
      </c>
    </row>
    <row r="332" spans="1:1" hidden="1" x14ac:dyDescent="0.35">
      <c r="A332" s="740" t="s">
        <v>686</v>
      </c>
    </row>
    <row r="333" spans="1:1" hidden="1" x14ac:dyDescent="0.35">
      <c r="A333" s="740" t="s">
        <v>687</v>
      </c>
    </row>
    <row r="334" spans="1:1" hidden="1" x14ac:dyDescent="0.35">
      <c r="A334" s="740" t="s">
        <v>688</v>
      </c>
    </row>
    <row r="335" spans="1:1" hidden="1" x14ac:dyDescent="0.35">
      <c r="A335" s="740" t="s">
        <v>689</v>
      </c>
    </row>
    <row r="336" spans="1:1" hidden="1" x14ac:dyDescent="0.35">
      <c r="A336" s="740" t="s">
        <v>690</v>
      </c>
    </row>
    <row r="337" spans="1:1" hidden="1" x14ac:dyDescent="0.35">
      <c r="A337" s="740" t="s">
        <v>691</v>
      </c>
    </row>
    <row r="338" spans="1:1" hidden="1" x14ac:dyDescent="0.35">
      <c r="A338" s="740" t="s">
        <v>692</v>
      </c>
    </row>
    <row r="339" spans="1:1" hidden="1" x14ac:dyDescent="0.35">
      <c r="A339" s="740" t="s">
        <v>693</v>
      </c>
    </row>
    <row r="340" spans="1:1" hidden="1" x14ac:dyDescent="0.35">
      <c r="A340" s="740" t="s">
        <v>694</v>
      </c>
    </row>
    <row r="341" spans="1:1" hidden="1" x14ac:dyDescent="0.35">
      <c r="A341" s="740" t="s">
        <v>695</v>
      </c>
    </row>
    <row r="342" spans="1:1" hidden="1" x14ac:dyDescent="0.35">
      <c r="A342" s="740" t="s">
        <v>696</v>
      </c>
    </row>
    <row r="343" spans="1:1" hidden="1" x14ac:dyDescent="0.35">
      <c r="A343" s="740" t="s">
        <v>697</v>
      </c>
    </row>
    <row r="344" spans="1:1" hidden="1" x14ac:dyDescent="0.35">
      <c r="A344" s="740" t="s">
        <v>698</v>
      </c>
    </row>
    <row r="345" spans="1:1" hidden="1" x14ac:dyDescent="0.35">
      <c r="A345" s="740" t="s">
        <v>699</v>
      </c>
    </row>
    <row r="346" spans="1:1" hidden="1" x14ac:dyDescent="0.35">
      <c r="A346" s="740" t="s">
        <v>700</v>
      </c>
    </row>
    <row r="347" spans="1:1" hidden="1" x14ac:dyDescent="0.35">
      <c r="A347" s="740" t="s">
        <v>701</v>
      </c>
    </row>
    <row r="348" spans="1:1" hidden="1" x14ac:dyDescent="0.35">
      <c r="A348" s="740" t="s">
        <v>702</v>
      </c>
    </row>
    <row r="349" spans="1:1" hidden="1" x14ac:dyDescent="0.35">
      <c r="A349" s="740" t="s">
        <v>703</v>
      </c>
    </row>
    <row r="350" spans="1:1" hidden="1" x14ac:dyDescent="0.35">
      <c r="A350" s="740" t="s">
        <v>704</v>
      </c>
    </row>
    <row r="351" spans="1:1" hidden="1" x14ac:dyDescent="0.35">
      <c r="A351" s="740" t="s">
        <v>705</v>
      </c>
    </row>
    <row r="352" spans="1:1" hidden="1" x14ac:dyDescent="0.35">
      <c r="A352" s="740" t="s">
        <v>706</v>
      </c>
    </row>
    <row r="353" spans="1:1" hidden="1" x14ac:dyDescent="0.35">
      <c r="A353" s="740" t="s">
        <v>707</v>
      </c>
    </row>
    <row r="354" spans="1:1" hidden="1" x14ac:dyDescent="0.35">
      <c r="A354" s="740" t="s">
        <v>708</v>
      </c>
    </row>
    <row r="355" spans="1:1" hidden="1" x14ac:dyDescent="0.35">
      <c r="A355" s="740" t="s">
        <v>709</v>
      </c>
    </row>
    <row r="356" spans="1:1" hidden="1" x14ac:dyDescent="0.35">
      <c r="A356" s="740" t="s">
        <v>710</v>
      </c>
    </row>
    <row r="357" spans="1:1" hidden="1" x14ac:dyDescent="0.35">
      <c r="A357" s="740" t="s">
        <v>711</v>
      </c>
    </row>
    <row r="358" spans="1:1" hidden="1" x14ac:dyDescent="0.35">
      <c r="A358" s="740" t="s">
        <v>712</v>
      </c>
    </row>
    <row r="359" spans="1:1" hidden="1" x14ac:dyDescent="0.35">
      <c r="A359" s="740" t="s">
        <v>713</v>
      </c>
    </row>
    <row r="360" spans="1:1" hidden="1" x14ac:dyDescent="0.35">
      <c r="A360" s="740" t="s">
        <v>714</v>
      </c>
    </row>
    <row r="361" spans="1:1" hidden="1" x14ac:dyDescent="0.35">
      <c r="A361" s="740" t="s">
        <v>715</v>
      </c>
    </row>
    <row r="362" spans="1:1" hidden="1" x14ac:dyDescent="0.35">
      <c r="A362" s="740" t="s">
        <v>716</v>
      </c>
    </row>
    <row r="363" spans="1:1" hidden="1" x14ac:dyDescent="0.35">
      <c r="A363" s="740" t="s">
        <v>717</v>
      </c>
    </row>
    <row r="364" spans="1:1" hidden="1" x14ac:dyDescent="0.35">
      <c r="A364" s="740" t="s">
        <v>718</v>
      </c>
    </row>
    <row r="365" spans="1:1" hidden="1" x14ac:dyDescent="0.35">
      <c r="A365" s="740" t="s">
        <v>719</v>
      </c>
    </row>
    <row r="366" spans="1:1" hidden="1" x14ac:dyDescent="0.35">
      <c r="A366" s="740" t="s">
        <v>720</v>
      </c>
    </row>
    <row r="367" spans="1:1" hidden="1" x14ac:dyDescent="0.35">
      <c r="A367" s="740" t="s">
        <v>721</v>
      </c>
    </row>
    <row r="368" spans="1:1" hidden="1" x14ac:dyDescent="0.35">
      <c r="A368" s="740" t="s">
        <v>722</v>
      </c>
    </row>
    <row r="369" spans="1:1" hidden="1" x14ac:dyDescent="0.35">
      <c r="A369" s="740" t="s">
        <v>723</v>
      </c>
    </row>
    <row r="370" spans="1:1" hidden="1" x14ac:dyDescent="0.35">
      <c r="A370" s="740" t="s">
        <v>724</v>
      </c>
    </row>
    <row r="371" spans="1:1" hidden="1" x14ac:dyDescent="0.35">
      <c r="A371" s="740" t="s">
        <v>725</v>
      </c>
    </row>
    <row r="372" spans="1:1" hidden="1" x14ac:dyDescent="0.35">
      <c r="A372" s="740" t="s">
        <v>726</v>
      </c>
    </row>
    <row r="373" spans="1:1" hidden="1" x14ac:dyDescent="0.35">
      <c r="A373" s="740" t="s">
        <v>727</v>
      </c>
    </row>
    <row r="374" spans="1:1" hidden="1" x14ac:dyDescent="0.35">
      <c r="A374" s="740" t="s">
        <v>728</v>
      </c>
    </row>
    <row r="375" spans="1:1" hidden="1" x14ac:dyDescent="0.35">
      <c r="A375" s="740" t="s">
        <v>729</v>
      </c>
    </row>
    <row r="376" spans="1:1" hidden="1" x14ac:dyDescent="0.35">
      <c r="A376" s="740" t="s">
        <v>730</v>
      </c>
    </row>
    <row r="377" spans="1:1" hidden="1" x14ac:dyDescent="0.35">
      <c r="A377" s="740" t="s">
        <v>731</v>
      </c>
    </row>
    <row r="378" spans="1:1" hidden="1" x14ac:dyDescent="0.35">
      <c r="A378" s="740" t="s">
        <v>732</v>
      </c>
    </row>
    <row r="379" spans="1:1" hidden="1" x14ac:dyDescent="0.35">
      <c r="A379" s="740" t="s">
        <v>733</v>
      </c>
    </row>
    <row r="380" spans="1:1" hidden="1" x14ac:dyDescent="0.35">
      <c r="A380" s="740" t="s">
        <v>734</v>
      </c>
    </row>
    <row r="381" spans="1:1" hidden="1" x14ac:dyDescent="0.35">
      <c r="A381" s="740" t="s">
        <v>735</v>
      </c>
    </row>
    <row r="382" spans="1:1" hidden="1" x14ac:dyDescent="0.35">
      <c r="A382" s="740" t="s">
        <v>736</v>
      </c>
    </row>
    <row r="383" spans="1:1" hidden="1" x14ac:dyDescent="0.35">
      <c r="A383" s="740" t="s">
        <v>737</v>
      </c>
    </row>
    <row r="384" spans="1:1" hidden="1" x14ac:dyDescent="0.35">
      <c r="A384" s="740" t="s">
        <v>738</v>
      </c>
    </row>
    <row r="385" spans="1:1" hidden="1" x14ac:dyDescent="0.35">
      <c r="A385" s="740" t="s">
        <v>739</v>
      </c>
    </row>
    <row r="386" spans="1:1" hidden="1" x14ac:dyDescent="0.35">
      <c r="A386" s="740" t="s">
        <v>740</v>
      </c>
    </row>
    <row r="387" spans="1:1" hidden="1" x14ac:dyDescent="0.35">
      <c r="A387" s="740" t="s">
        <v>741</v>
      </c>
    </row>
    <row r="388" spans="1:1" hidden="1" x14ac:dyDescent="0.35">
      <c r="A388" s="740" t="s">
        <v>742</v>
      </c>
    </row>
    <row r="389" spans="1:1" hidden="1" x14ac:dyDescent="0.35">
      <c r="A389" s="740" t="s">
        <v>743</v>
      </c>
    </row>
    <row r="390" spans="1:1" hidden="1" x14ac:dyDescent="0.35">
      <c r="A390" s="740" t="s">
        <v>744</v>
      </c>
    </row>
  </sheetData>
  <mergeCells count="34">
    <mergeCell ref="A37:E37"/>
    <mergeCell ref="D52:O52"/>
    <mergeCell ref="M57:P57"/>
    <mergeCell ref="H61:P61"/>
    <mergeCell ref="D42:O42"/>
    <mergeCell ref="D44:O44"/>
    <mergeCell ref="D45:O45"/>
    <mergeCell ref="D46:O47"/>
    <mergeCell ref="D50:O50"/>
    <mergeCell ref="D51:O51"/>
    <mergeCell ref="A15:D15"/>
    <mergeCell ref="E15:G15"/>
    <mergeCell ref="H15:J15"/>
    <mergeCell ref="K15:M15"/>
    <mergeCell ref="N15:P15"/>
    <mergeCell ref="N13:P13"/>
    <mergeCell ref="A14:D14"/>
    <mergeCell ref="E14:G14"/>
    <mergeCell ref="H14:J14"/>
    <mergeCell ref="K14:M14"/>
    <mergeCell ref="N14:P14"/>
    <mergeCell ref="A13:D13"/>
    <mergeCell ref="E13:G13"/>
    <mergeCell ref="H13:J13"/>
    <mergeCell ref="K13:M13"/>
    <mergeCell ref="E12:G12"/>
    <mergeCell ref="H12:J12"/>
    <mergeCell ref="K12:M12"/>
    <mergeCell ref="N12:P12"/>
    <mergeCell ref="A1:P1"/>
    <mergeCell ref="A2:P2"/>
    <mergeCell ref="E6:P6"/>
    <mergeCell ref="B8:O8"/>
    <mergeCell ref="B10:O10"/>
  </mergeCells>
  <dataValidations count="2">
    <dataValidation type="list" allowBlank="1" showInputMessage="1" showErrorMessage="1" sqref="E6:P6" xr:uid="{E7F83827-F5C4-41D2-B10B-F1FC4D45FB04}">
      <formula1>$A$69:$A$390</formula1>
    </dataValidation>
    <dataValidation type="list" allowBlank="1" showInputMessage="1" showErrorMessage="1" sqref="E11 E7" xr:uid="{6D04199F-CB38-478B-BB7B-351DBCB7DBE4}">
      <formula1>$A$69:$A$123</formula1>
    </dataValidation>
  </dataValidations>
  <hyperlinks>
    <hyperlink ref="E65" r:id="rId1" display="mailto:parish.precepts@somerset.gov.uk" xr:uid="{EF518BEE-44A4-4602-AE9A-817DE4D1305B}"/>
  </hyperlinks>
  <pageMargins left="0.7" right="0.7" top="0.75" bottom="0.75" header="0.3" footer="0.3"/>
  <pageSetup paperSize="9" scale="68"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286D7-C477-452C-A1A6-A89C44C84275}">
  <sheetPr>
    <pageSetUpPr fitToPage="1"/>
  </sheetPr>
  <dimension ref="B2:G48"/>
  <sheetViews>
    <sheetView topLeftCell="A27" workbookViewId="0">
      <selection activeCell="D5" sqref="D5"/>
    </sheetView>
  </sheetViews>
  <sheetFormatPr defaultRowHeight="14.5" x14ac:dyDescent="0.35"/>
  <cols>
    <col min="2" max="2" width="27.453125" bestFit="1" customWidth="1"/>
    <col min="3" max="3" width="15.81640625" customWidth="1"/>
    <col min="4" max="4" width="18.453125" customWidth="1"/>
    <col min="5" max="5" width="17.1796875" customWidth="1"/>
    <col min="6" max="6" width="29.1796875" customWidth="1"/>
    <col min="7" max="7" width="27.26953125" bestFit="1" customWidth="1"/>
  </cols>
  <sheetData>
    <row r="2" spans="2:7" x14ac:dyDescent="0.35">
      <c r="B2" s="135" t="s">
        <v>269</v>
      </c>
    </row>
    <row r="4" spans="2:7" x14ac:dyDescent="0.35">
      <c r="C4" t="s">
        <v>270</v>
      </c>
      <c r="D4" t="s">
        <v>271</v>
      </c>
      <c r="E4" t="s">
        <v>272</v>
      </c>
      <c r="F4" t="s">
        <v>273</v>
      </c>
    </row>
    <row r="5" spans="2:7" x14ac:dyDescent="0.35">
      <c r="B5" s="1342" t="s">
        <v>1078</v>
      </c>
      <c r="C5" s="424"/>
      <c r="D5" s="1342">
        <v>250000</v>
      </c>
      <c r="E5" s="424">
        <v>0</v>
      </c>
      <c r="F5" s="80"/>
      <c r="G5" t="s">
        <v>1077</v>
      </c>
    </row>
    <row r="6" spans="2:7" x14ac:dyDescent="0.35">
      <c r="B6" t="s">
        <v>275</v>
      </c>
      <c r="C6" s="50">
        <v>42787</v>
      </c>
      <c r="D6" s="80">
        <v>148.19</v>
      </c>
      <c r="E6" s="80">
        <v>148.19</v>
      </c>
      <c r="F6" s="80">
        <v>148.19</v>
      </c>
    </row>
    <row r="7" spans="2:7" x14ac:dyDescent="0.35">
      <c r="B7" t="s">
        <v>276</v>
      </c>
      <c r="C7" s="50">
        <v>43236</v>
      </c>
      <c r="D7" s="80">
        <v>126.69</v>
      </c>
      <c r="E7" s="80">
        <v>253.38</v>
      </c>
      <c r="F7" s="80">
        <v>253.38</v>
      </c>
    </row>
    <row r="8" spans="2:7" x14ac:dyDescent="0.35">
      <c r="B8" t="s">
        <v>276</v>
      </c>
      <c r="C8" s="50">
        <v>42600</v>
      </c>
      <c r="D8" s="80">
        <v>126.69</v>
      </c>
      <c r="E8" s="80">
        <v>126.69</v>
      </c>
      <c r="F8" s="80">
        <v>126.69</v>
      </c>
    </row>
    <row r="9" spans="2:7" x14ac:dyDescent="0.35">
      <c r="B9" t="s">
        <v>277</v>
      </c>
      <c r="C9" s="50">
        <v>42600</v>
      </c>
      <c r="D9" s="80">
        <v>274.17</v>
      </c>
      <c r="E9" s="80">
        <v>274.17</v>
      </c>
      <c r="F9" s="80">
        <v>274.17</v>
      </c>
    </row>
    <row r="10" spans="2:7" x14ac:dyDescent="0.35">
      <c r="B10" t="s">
        <v>278</v>
      </c>
      <c r="C10" s="50">
        <v>43516</v>
      </c>
      <c r="D10" s="80">
        <v>918</v>
      </c>
      <c r="E10" s="80">
        <v>918</v>
      </c>
      <c r="F10" s="80">
        <v>918</v>
      </c>
    </row>
    <row r="11" spans="2:7" x14ac:dyDescent="0.35">
      <c r="B11" t="s">
        <v>279</v>
      </c>
      <c r="C11" s="50" t="s">
        <v>280</v>
      </c>
      <c r="D11" s="80">
        <v>0</v>
      </c>
      <c r="E11" s="80">
        <v>0</v>
      </c>
      <c r="F11" s="80">
        <v>0</v>
      </c>
    </row>
    <row r="12" spans="2:7" x14ac:dyDescent="0.35">
      <c r="C12" s="50"/>
      <c r="D12" s="80"/>
      <c r="E12" s="80"/>
      <c r="F12" s="80"/>
    </row>
    <row r="13" spans="2:7" x14ac:dyDescent="0.35">
      <c r="B13" s="135" t="s">
        <v>281</v>
      </c>
      <c r="C13" s="50"/>
      <c r="D13" s="80"/>
      <c r="E13" s="80"/>
      <c r="F13" s="80"/>
    </row>
    <row r="14" spans="2:7" x14ac:dyDescent="0.35">
      <c r="B14" t="s">
        <v>282</v>
      </c>
      <c r="C14" s="50"/>
      <c r="D14" s="80"/>
      <c r="E14" s="80"/>
      <c r="F14" s="80"/>
    </row>
    <row r="15" spans="2:7" x14ac:dyDescent="0.35">
      <c r="C15" s="50"/>
      <c r="D15" s="80"/>
      <c r="E15" s="80"/>
      <c r="F15" s="80"/>
    </row>
    <row r="16" spans="2:7" ht="15" thickBot="1" x14ac:dyDescent="0.4">
      <c r="F16" s="410">
        <f>SUM(F5:F11)</f>
        <v>1720.43</v>
      </c>
    </row>
    <row r="17" spans="2:7" ht="15" thickTop="1" x14ac:dyDescent="0.35"/>
    <row r="18" spans="2:7" x14ac:dyDescent="0.35">
      <c r="B18" s="135" t="s">
        <v>283</v>
      </c>
    </row>
    <row r="19" spans="2:7" x14ac:dyDescent="0.35">
      <c r="B19" s="1342" t="s">
        <v>284</v>
      </c>
      <c r="C19" s="425">
        <v>43999</v>
      </c>
      <c r="D19" s="411"/>
      <c r="E19" s="411"/>
      <c r="F19" s="411"/>
      <c r="G19" t="s">
        <v>295</v>
      </c>
    </row>
    <row r="20" spans="2:7" x14ac:dyDescent="0.35">
      <c r="B20" t="s">
        <v>285</v>
      </c>
      <c r="C20" t="s">
        <v>274</v>
      </c>
      <c r="D20" s="411">
        <v>0</v>
      </c>
      <c r="E20" s="411">
        <v>0</v>
      </c>
      <c r="F20" s="411">
        <v>0</v>
      </c>
    </row>
    <row r="21" spans="2:7" x14ac:dyDescent="0.35">
      <c r="B21" t="s">
        <v>286</v>
      </c>
      <c r="C21" s="50">
        <v>44153</v>
      </c>
      <c r="D21" s="411">
        <v>25</v>
      </c>
      <c r="E21" s="411">
        <v>100</v>
      </c>
      <c r="F21" s="411">
        <v>100</v>
      </c>
    </row>
    <row r="22" spans="2:7" x14ac:dyDescent="0.35">
      <c r="B22" t="s">
        <v>287</v>
      </c>
      <c r="C22" s="50">
        <v>44153</v>
      </c>
      <c r="D22" s="411">
        <v>414.48</v>
      </c>
      <c r="E22" s="411">
        <v>414.48</v>
      </c>
      <c r="F22" s="411">
        <v>414.48</v>
      </c>
    </row>
    <row r="23" spans="2:7" x14ac:dyDescent="0.35">
      <c r="B23" t="s">
        <v>288</v>
      </c>
      <c r="C23" s="50">
        <v>44186</v>
      </c>
      <c r="D23" s="411">
        <v>414.48</v>
      </c>
      <c r="E23" s="411">
        <v>414.48</v>
      </c>
      <c r="F23" s="411">
        <v>414.48</v>
      </c>
    </row>
    <row r="25" spans="2:7" ht="15" thickBot="1" x14ac:dyDescent="0.4">
      <c r="F25" s="412">
        <f>SUM(F19:F23)+F16</f>
        <v>2649.3900000000003</v>
      </c>
    </row>
    <row r="26" spans="2:7" ht="15" thickTop="1" x14ac:dyDescent="0.35">
      <c r="B26" s="14"/>
    </row>
    <row r="27" spans="2:7" x14ac:dyDescent="0.35">
      <c r="B27" s="135" t="s">
        <v>289</v>
      </c>
    </row>
    <row r="28" spans="2:7" x14ac:dyDescent="0.35">
      <c r="B28" t="s">
        <v>290</v>
      </c>
    </row>
    <row r="29" spans="2:7" x14ac:dyDescent="0.35">
      <c r="B29" s="14"/>
    </row>
    <row r="30" spans="2:7" x14ac:dyDescent="0.35">
      <c r="B30" s="135" t="s">
        <v>339</v>
      </c>
    </row>
    <row r="31" spans="2:7" x14ac:dyDescent="0.35">
      <c r="B31" t="s">
        <v>341</v>
      </c>
      <c r="C31" s="50">
        <v>44672</v>
      </c>
      <c r="D31">
        <v>277.23</v>
      </c>
      <c r="E31">
        <v>277.23</v>
      </c>
      <c r="F31">
        <v>277.23</v>
      </c>
    </row>
    <row r="32" spans="2:7" x14ac:dyDescent="0.35">
      <c r="B32" s="1345" t="s">
        <v>342</v>
      </c>
      <c r="C32" s="1344">
        <v>44895</v>
      </c>
      <c r="D32" s="1345">
        <v>1005.75</v>
      </c>
      <c r="E32" s="1343"/>
      <c r="F32" s="1343"/>
      <c r="G32" s="1343" t="s">
        <v>1077</v>
      </c>
    </row>
    <row r="33" spans="2:6" x14ac:dyDescent="0.35">
      <c r="B33" t="s">
        <v>343</v>
      </c>
      <c r="D33">
        <v>1</v>
      </c>
      <c r="E33">
        <v>1</v>
      </c>
      <c r="F33">
        <v>1</v>
      </c>
    </row>
    <row r="34" spans="2:6" ht="15" thickBot="1" x14ac:dyDescent="0.4">
      <c r="F34" s="81">
        <f>SUM(F25+F31+F32+F33)</f>
        <v>2927.6200000000003</v>
      </c>
    </row>
    <row r="35" spans="2:6" ht="15" thickTop="1" x14ac:dyDescent="0.35"/>
    <row r="37" spans="2:6" x14ac:dyDescent="0.35">
      <c r="B37" s="135" t="s">
        <v>773</v>
      </c>
    </row>
    <row r="38" spans="2:6" x14ac:dyDescent="0.35">
      <c r="B38" s="50" t="s">
        <v>774</v>
      </c>
      <c r="C38" s="50">
        <v>45126</v>
      </c>
      <c r="D38">
        <v>739.15</v>
      </c>
      <c r="E38">
        <v>739.15</v>
      </c>
      <c r="F38">
        <v>739.15</v>
      </c>
    </row>
    <row r="39" spans="2:6" x14ac:dyDescent="0.35">
      <c r="B39" t="s">
        <v>775</v>
      </c>
      <c r="C39" s="50">
        <v>45371</v>
      </c>
      <c r="D39">
        <v>549</v>
      </c>
      <c r="E39">
        <v>549</v>
      </c>
      <c r="F39">
        <v>549</v>
      </c>
    </row>
    <row r="40" spans="2:6" ht="15" thickBot="1" x14ac:dyDescent="0.4">
      <c r="F40" s="81">
        <f>F34+F38+F39</f>
        <v>4215.7700000000004</v>
      </c>
    </row>
    <row r="41" spans="2:6" ht="15" thickTop="1" x14ac:dyDescent="0.35"/>
    <row r="42" spans="2:6" x14ac:dyDescent="0.35">
      <c r="B42" s="135" t="s">
        <v>1079</v>
      </c>
    </row>
    <row r="43" spans="2:6" x14ac:dyDescent="0.35">
      <c r="B43" s="50" t="s">
        <v>1080</v>
      </c>
      <c r="C43" s="50">
        <v>45399</v>
      </c>
      <c r="D43">
        <v>2289.9899999999998</v>
      </c>
      <c r="E43">
        <v>2289.9899999999998</v>
      </c>
      <c r="F43">
        <v>2289.9899999999998</v>
      </c>
    </row>
    <row r="47" spans="2:6" ht="15" thickBot="1" x14ac:dyDescent="0.4">
      <c r="E47">
        <f>SUM(E5:E46)</f>
        <v>6505.76</v>
      </c>
      <c r="F47" s="81">
        <f>SUM(F6:F10,F20:F23,F31:F33,F38:F39,F43)</f>
        <v>6505.76</v>
      </c>
    </row>
    <row r="48" spans="2:6" ht="15" thickTop="1" x14ac:dyDescent="0.35"/>
  </sheetData>
  <pageMargins left="0.7" right="0.7" top="0.75" bottom="0.75" header="0.3" footer="0.3"/>
  <pageSetup paperSize="9" scale="6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3CB06-CA2B-40CF-A538-AF8D51B91CCC}">
  <sheetPr>
    <pageSetUpPr fitToPage="1"/>
  </sheetPr>
  <dimension ref="B1:I58"/>
  <sheetViews>
    <sheetView topLeftCell="A37" workbookViewId="0">
      <selection activeCell="H16" sqref="H16"/>
    </sheetView>
  </sheetViews>
  <sheetFormatPr defaultRowHeight="14.5" x14ac:dyDescent="0.35"/>
  <cols>
    <col min="3" max="3" width="11.54296875" bestFit="1" customWidth="1"/>
    <col min="4" max="5" width="11.54296875" customWidth="1"/>
    <col min="6" max="6" width="30.54296875" bestFit="1" customWidth="1"/>
    <col min="8" max="9" width="12.1796875" bestFit="1" customWidth="1"/>
    <col min="10" max="10" width="11.54296875" bestFit="1" customWidth="1"/>
  </cols>
  <sheetData>
    <row r="1" spans="2:8" x14ac:dyDescent="0.35">
      <c r="C1" s="1"/>
      <c r="E1" s="1"/>
      <c r="F1" s="1" t="s">
        <v>162</v>
      </c>
      <c r="G1" s="1"/>
      <c r="H1" s="1"/>
    </row>
    <row r="3" spans="2:8" x14ac:dyDescent="0.35">
      <c r="F3" t="s">
        <v>163</v>
      </c>
    </row>
    <row r="5" spans="2:8" x14ac:dyDescent="0.35">
      <c r="F5" t="s">
        <v>1165</v>
      </c>
    </row>
    <row r="8" spans="2:8" x14ac:dyDescent="0.35">
      <c r="C8" s="516">
        <v>2024</v>
      </c>
      <c r="H8" s="516">
        <v>2025</v>
      </c>
    </row>
    <row r="10" spans="2:8" x14ac:dyDescent="0.35">
      <c r="B10" s="80"/>
      <c r="F10" s="135" t="s">
        <v>164</v>
      </c>
    </row>
    <row r="11" spans="2:8" x14ac:dyDescent="0.35">
      <c r="B11" s="80"/>
      <c r="C11">
        <v>49831</v>
      </c>
      <c r="F11" t="s">
        <v>82</v>
      </c>
      <c r="H11">
        <v>62288.75</v>
      </c>
    </row>
    <row r="12" spans="2:8" x14ac:dyDescent="0.35">
      <c r="B12" s="80"/>
      <c r="F12" t="s">
        <v>165</v>
      </c>
      <c r="H12">
        <v>5000</v>
      </c>
    </row>
    <row r="13" spans="2:8" x14ac:dyDescent="0.35">
      <c r="B13" s="80"/>
      <c r="C13">
        <v>50</v>
      </c>
      <c r="F13" t="s">
        <v>1166</v>
      </c>
      <c r="H13">
        <v>1650</v>
      </c>
    </row>
    <row r="14" spans="2:8" x14ac:dyDescent="0.35">
      <c r="B14" s="80"/>
      <c r="F14" t="s">
        <v>1167</v>
      </c>
      <c r="H14">
        <v>350000</v>
      </c>
    </row>
    <row r="15" spans="2:8" x14ac:dyDescent="0.35">
      <c r="B15" s="80"/>
      <c r="C15">
        <f>1119.14+813.98</f>
        <v>1933.1200000000001</v>
      </c>
      <c r="F15" t="s">
        <v>166</v>
      </c>
      <c r="H15">
        <f>4945.6+1374.56</f>
        <v>6320.16</v>
      </c>
    </row>
    <row r="16" spans="2:8" x14ac:dyDescent="0.35">
      <c r="B16" s="80"/>
      <c r="F16" t="s">
        <v>344</v>
      </c>
      <c r="H16">
        <v>0</v>
      </c>
    </row>
    <row r="17" spans="2:8" x14ac:dyDescent="0.35">
      <c r="B17" s="80"/>
      <c r="C17">
        <v>836.37</v>
      </c>
      <c r="F17" t="s">
        <v>759</v>
      </c>
      <c r="H17">
        <v>0</v>
      </c>
    </row>
    <row r="18" spans="2:8" x14ac:dyDescent="0.35">
      <c r="B18" s="80"/>
      <c r="C18">
        <v>480</v>
      </c>
      <c r="F18" t="s">
        <v>167</v>
      </c>
      <c r="H18">
        <v>450</v>
      </c>
    </row>
    <row r="19" spans="2:8" x14ac:dyDescent="0.35">
      <c r="B19" s="80"/>
      <c r="F19" t="s">
        <v>261</v>
      </c>
    </row>
    <row r="20" spans="2:8" x14ac:dyDescent="0.35">
      <c r="B20" s="80"/>
      <c r="F20" t="s">
        <v>883</v>
      </c>
      <c r="H20">
        <v>30.87</v>
      </c>
    </row>
    <row r="21" spans="2:8" x14ac:dyDescent="0.35">
      <c r="B21" s="80"/>
      <c r="C21" s="258">
        <f>SUM(C11:C20)</f>
        <v>53130.490000000005</v>
      </c>
      <c r="E21" s="133"/>
      <c r="F21" s="133"/>
      <c r="G21" s="133"/>
      <c r="H21" s="258">
        <f>SUM(H11:H20)</f>
        <v>425739.77999999997</v>
      </c>
    </row>
    <row r="22" spans="2:8" x14ac:dyDescent="0.35">
      <c r="B22" s="80"/>
    </row>
    <row r="23" spans="2:8" x14ac:dyDescent="0.35">
      <c r="B23" s="133"/>
    </row>
    <row r="25" spans="2:8" x14ac:dyDescent="0.35">
      <c r="F25" s="135" t="s">
        <v>168</v>
      </c>
    </row>
    <row r="26" spans="2:8" x14ac:dyDescent="0.35">
      <c r="C26">
        <v>18699.73</v>
      </c>
      <c r="F26" t="s">
        <v>262</v>
      </c>
      <c r="H26">
        <v>20162.89</v>
      </c>
    </row>
    <row r="27" spans="2:8" x14ac:dyDescent="0.35">
      <c r="C27">
        <v>0</v>
      </c>
      <c r="F27" t="s">
        <v>267</v>
      </c>
      <c r="H27">
        <v>0</v>
      </c>
    </row>
    <row r="28" spans="2:8" x14ac:dyDescent="0.35">
      <c r="C28">
        <v>1086.56</v>
      </c>
      <c r="F28" t="s">
        <v>1168</v>
      </c>
      <c r="H28">
        <f>361.5+140.4+312+254.29</f>
        <v>1068.19</v>
      </c>
    </row>
    <row r="29" spans="2:8" x14ac:dyDescent="0.35">
      <c r="C29">
        <v>0</v>
      </c>
      <c r="F29" t="s">
        <v>11</v>
      </c>
      <c r="H29">
        <v>978.11</v>
      </c>
    </row>
    <row r="30" spans="2:8" x14ac:dyDescent="0.35">
      <c r="C30">
        <v>169.5</v>
      </c>
      <c r="F30" t="s">
        <v>169</v>
      </c>
      <c r="H30">
        <v>118</v>
      </c>
    </row>
    <row r="31" spans="2:8" x14ac:dyDescent="0.35">
      <c r="C31">
        <v>450</v>
      </c>
      <c r="F31" t="s">
        <v>194</v>
      </c>
      <c r="H31">
        <v>334.04</v>
      </c>
    </row>
    <row r="32" spans="2:8" x14ac:dyDescent="0.35">
      <c r="F32" t="s">
        <v>345</v>
      </c>
      <c r="H32">
        <v>242.62</v>
      </c>
    </row>
    <row r="33" spans="3:8" x14ac:dyDescent="0.35">
      <c r="C33">
        <v>315</v>
      </c>
      <c r="F33" t="s">
        <v>170</v>
      </c>
      <c r="H33">
        <v>480</v>
      </c>
    </row>
    <row r="34" spans="3:8" x14ac:dyDescent="0.35">
      <c r="C34">
        <v>273.83999999999997</v>
      </c>
      <c r="F34" t="s">
        <v>63</v>
      </c>
      <c r="H34">
        <v>398.77</v>
      </c>
    </row>
    <row r="35" spans="3:8" x14ac:dyDescent="0.35">
      <c r="C35">
        <f>'Natwest Expenses'!AB132</f>
        <v>3908.95</v>
      </c>
      <c r="F35" t="s">
        <v>171</v>
      </c>
      <c r="H35">
        <v>3908.95</v>
      </c>
    </row>
    <row r="36" spans="3:8" x14ac:dyDescent="0.35">
      <c r="C36">
        <v>1938.23</v>
      </c>
      <c r="F36" t="s">
        <v>34</v>
      </c>
      <c r="H36">
        <v>1378.2</v>
      </c>
    </row>
    <row r="37" spans="3:8" x14ac:dyDescent="0.35">
      <c r="C37">
        <v>1757.04</v>
      </c>
      <c r="F37" t="s">
        <v>66</v>
      </c>
      <c r="H37">
        <v>173.99</v>
      </c>
    </row>
    <row r="38" spans="3:8" x14ac:dyDescent="0.35">
      <c r="C38">
        <v>43.66</v>
      </c>
      <c r="F38" t="s">
        <v>1169</v>
      </c>
      <c r="H38">
        <v>3539</v>
      </c>
    </row>
    <row r="39" spans="3:8" x14ac:dyDescent="0.35">
      <c r="C39">
        <v>0</v>
      </c>
      <c r="F39" t="s">
        <v>172</v>
      </c>
      <c r="H39">
        <v>1024.43</v>
      </c>
    </row>
    <row r="40" spans="3:8" x14ac:dyDescent="0.35">
      <c r="C40">
        <v>2759.23</v>
      </c>
      <c r="E40" t="s">
        <v>264</v>
      </c>
      <c r="F40" t="s">
        <v>263</v>
      </c>
      <c r="H40">
        <v>924.75</v>
      </c>
    </row>
    <row r="41" spans="3:8" x14ac:dyDescent="0.35">
      <c r="C41">
        <v>1250</v>
      </c>
      <c r="F41" t="s">
        <v>173</v>
      </c>
      <c r="H41">
        <v>633.75</v>
      </c>
    </row>
    <row r="42" spans="3:8" x14ac:dyDescent="0.35">
      <c r="C42">
        <v>7785.85</v>
      </c>
      <c r="F42" t="s">
        <v>268</v>
      </c>
      <c r="H42">
        <v>0</v>
      </c>
    </row>
    <row r="43" spans="3:8" x14ac:dyDescent="0.35">
      <c r="C43">
        <v>0</v>
      </c>
      <c r="F43" t="s">
        <v>346</v>
      </c>
      <c r="H43">
        <v>0</v>
      </c>
    </row>
    <row r="44" spans="3:8" x14ac:dyDescent="0.35">
      <c r="C44">
        <v>1288.1500000000001</v>
      </c>
      <c r="F44" t="s">
        <v>347</v>
      </c>
      <c r="H44">
        <v>1773.16</v>
      </c>
    </row>
    <row r="45" spans="3:8" x14ac:dyDescent="0.35">
      <c r="C45">
        <v>-2.87</v>
      </c>
      <c r="F45" t="s">
        <v>286</v>
      </c>
      <c r="H45">
        <v>103.25</v>
      </c>
    </row>
    <row r="46" spans="3:8" x14ac:dyDescent="0.35">
      <c r="C46">
        <v>450</v>
      </c>
      <c r="F46" t="s">
        <v>761</v>
      </c>
      <c r="H46">
        <v>0</v>
      </c>
    </row>
    <row r="47" spans="3:8" x14ac:dyDescent="0.35">
      <c r="C47">
        <v>620</v>
      </c>
      <c r="F47" t="s">
        <v>760</v>
      </c>
      <c r="H47">
        <v>0</v>
      </c>
    </row>
    <row r="48" spans="3:8" x14ac:dyDescent="0.35">
      <c r="C48">
        <v>56.18</v>
      </c>
      <c r="F48" t="s">
        <v>763</v>
      </c>
      <c r="H48">
        <v>36</v>
      </c>
    </row>
    <row r="49" spans="3:9" x14ac:dyDescent="0.35">
      <c r="F49" t="s">
        <v>1171</v>
      </c>
      <c r="H49">
        <v>150</v>
      </c>
    </row>
    <row r="50" spans="3:9" x14ac:dyDescent="0.35">
      <c r="F50" t="s">
        <v>1170</v>
      </c>
      <c r="H50">
        <v>212</v>
      </c>
    </row>
    <row r="52" spans="3:9" x14ac:dyDescent="0.35">
      <c r="C52" s="258">
        <f>SUM(C26:C51)</f>
        <v>42849.05</v>
      </c>
      <c r="E52" s="133"/>
      <c r="F52" s="133"/>
      <c r="G52" s="133"/>
      <c r="H52" s="258">
        <f>SUM(H26:H51)</f>
        <v>37640.100000000006</v>
      </c>
    </row>
    <row r="57" spans="3:9" ht="15" thickBot="1" x14ac:dyDescent="0.4">
      <c r="D57" s="81">
        <f>C21-C52</f>
        <v>10281.440000000002</v>
      </c>
      <c r="F57" s="14" t="s">
        <v>174</v>
      </c>
      <c r="I57" s="81">
        <f>H21-H52</f>
        <v>388099.67999999993</v>
      </c>
    </row>
    <row r="58" spans="3:9" ht="15" thickTop="1" x14ac:dyDescent="0.35"/>
  </sheetData>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6A505-2097-406E-BCFE-2E5898C22CFA}">
  <sheetPr>
    <pageSetUpPr fitToPage="1"/>
  </sheetPr>
  <dimension ref="A1:H33"/>
  <sheetViews>
    <sheetView workbookViewId="0">
      <selection activeCell="H32" sqref="H32"/>
    </sheetView>
  </sheetViews>
  <sheetFormatPr defaultRowHeight="14.5" x14ac:dyDescent="0.35"/>
  <cols>
    <col min="1" max="1" width="10.54296875" bestFit="1" customWidth="1"/>
    <col min="2" max="2" width="12.54296875" style="259" bestFit="1" customWidth="1"/>
    <col min="6" max="6" width="13.453125" customWidth="1"/>
    <col min="7" max="7" width="12.08984375" bestFit="1" customWidth="1"/>
    <col min="8" max="8" width="12.54296875" style="259" bestFit="1" customWidth="1"/>
    <col min="9" max="9" width="11.54296875" bestFit="1" customWidth="1"/>
  </cols>
  <sheetData>
    <row r="1" spans="1:8" x14ac:dyDescent="0.35">
      <c r="D1" s="40" t="s">
        <v>175</v>
      </c>
    </row>
    <row r="3" spans="1:8" x14ac:dyDescent="0.35">
      <c r="D3" s="40" t="s">
        <v>786</v>
      </c>
    </row>
    <row r="6" spans="1:8" x14ac:dyDescent="0.35">
      <c r="A6" s="135">
        <v>2024</v>
      </c>
      <c r="C6" s="40"/>
      <c r="D6" s="40"/>
      <c r="E6" s="40"/>
      <c r="F6" s="40"/>
      <c r="G6" s="135">
        <v>2025</v>
      </c>
      <c r="H6" s="80"/>
    </row>
    <row r="7" spans="1:8" x14ac:dyDescent="0.35">
      <c r="D7" s="35" t="s">
        <v>176</v>
      </c>
      <c r="H7" s="80"/>
    </row>
    <row r="8" spans="1:8" x14ac:dyDescent="0.35">
      <c r="H8" s="80"/>
    </row>
    <row r="9" spans="1:8" x14ac:dyDescent="0.35">
      <c r="A9">
        <v>100</v>
      </c>
      <c r="D9" t="s">
        <v>177</v>
      </c>
      <c r="G9" s="80">
        <v>100</v>
      </c>
      <c r="H9" s="80"/>
    </row>
    <row r="10" spans="1:8" x14ac:dyDescent="0.35">
      <c r="A10">
        <v>54175.15</v>
      </c>
      <c r="D10" t="s">
        <v>178</v>
      </c>
      <c r="G10" s="80">
        <v>437039.91</v>
      </c>
      <c r="H10" s="80"/>
    </row>
    <row r="11" spans="1:8" x14ac:dyDescent="0.35">
      <c r="A11">
        <v>15923.82</v>
      </c>
      <c r="D11" t="s">
        <v>757</v>
      </c>
      <c r="G11" s="80">
        <v>15887.82</v>
      </c>
      <c r="H11" s="80"/>
    </row>
    <row r="12" spans="1:8" x14ac:dyDescent="0.35">
      <c r="A12">
        <v>50813.98</v>
      </c>
      <c r="D12" t="s">
        <v>758</v>
      </c>
      <c r="G12" s="80">
        <v>52188.54</v>
      </c>
      <c r="H12" s="80"/>
    </row>
    <row r="13" spans="1:8" x14ac:dyDescent="0.35">
      <c r="A13">
        <v>3667.51</v>
      </c>
      <c r="D13" t="s">
        <v>756</v>
      </c>
      <c r="G13" s="80"/>
      <c r="H13" s="80"/>
    </row>
    <row r="14" spans="1:8" x14ac:dyDescent="0.35">
      <c r="D14" t="s">
        <v>1172</v>
      </c>
      <c r="G14" s="80">
        <v>1654.2</v>
      </c>
      <c r="H14" s="80"/>
    </row>
    <row r="15" spans="1:8" x14ac:dyDescent="0.35">
      <c r="A15" s="515"/>
      <c r="G15" s="1340"/>
      <c r="H15" s="80"/>
    </row>
    <row r="16" spans="1:8" x14ac:dyDescent="0.35">
      <c r="B16" s="548">
        <f>SUM(A9:A15)</f>
        <v>124680.46</v>
      </c>
      <c r="D16" s="14" t="s">
        <v>265</v>
      </c>
      <c r="G16" s="80"/>
      <c r="H16" s="133">
        <f>SUM(G9:G15)</f>
        <v>506870.47</v>
      </c>
    </row>
    <row r="17" spans="1:8" x14ac:dyDescent="0.35">
      <c r="G17" s="80"/>
      <c r="H17" s="80"/>
    </row>
    <row r="18" spans="1:8" x14ac:dyDescent="0.35">
      <c r="D18" s="35" t="s">
        <v>179</v>
      </c>
      <c r="G18" s="80"/>
      <c r="H18" s="80"/>
    </row>
    <row r="19" spans="1:8" x14ac:dyDescent="0.35">
      <c r="G19" s="80"/>
      <c r="H19" s="80"/>
    </row>
    <row r="20" spans="1:8" x14ac:dyDescent="0.35">
      <c r="A20" s="515">
        <v>10674.76</v>
      </c>
      <c r="D20" t="s">
        <v>180</v>
      </c>
      <c r="G20" s="1340">
        <v>4765.09</v>
      </c>
      <c r="H20" s="80"/>
    </row>
    <row r="21" spans="1:8" x14ac:dyDescent="0.35">
      <c r="B21" s="548">
        <f>A20</f>
        <v>10674.76</v>
      </c>
      <c r="C21" s="40"/>
      <c r="D21" s="40" t="s">
        <v>266</v>
      </c>
      <c r="E21" s="40"/>
      <c r="F21" s="40"/>
      <c r="G21" s="80"/>
      <c r="H21" s="133">
        <f>G20</f>
        <v>4765.09</v>
      </c>
    </row>
    <row r="22" spans="1:8" x14ac:dyDescent="0.35">
      <c r="G22" s="80"/>
      <c r="H22" s="80"/>
    </row>
    <row r="23" spans="1:8" x14ac:dyDescent="0.35">
      <c r="G23" s="80"/>
      <c r="H23" s="80"/>
    </row>
    <row r="24" spans="1:8" x14ac:dyDescent="0.35">
      <c r="B24" s="549"/>
      <c r="D24" s="40" t="s">
        <v>181</v>
      </c>
      <c r="G24" s="80"/>
      <c r="H24" s="1340"/>
    </row>
    <row r="25" spans="1:8" x14ac:dyDescent="0.35">
      <c r="B25" s="548">
        <f>B16-B21</f>
        <v>114005.70000000001</v>
      </c>
      <c r="G25" s="80"/>
      <c r="H25" s="133">
        <f>H16-H21</f>
        <v>502105.37999999995</v>
      </c>
    </row>
    <row r="26" spans="1:8" x14ac:dyDescent="0.35">
      <c r="G26" s="80"/>
      <c r="H26" s="80"/>
    </row>
    <row r="27" spans="1:8" x14ac:dyDescent="0.35">
      <c r="D27" s="40" t="s">
        <v>182</v>
      </c>
      <c r="G27" s="80"/>
      <c r="H27" s="80"/>
    </row>
    <row r="28" spans="1:8" x14ac:dyDescent="0.35">
      <c r="G28" s="80"/>
      <c r="H28" s="80"/>
    </row>
    <row r="29" spans="1:8" x14ac:dyDescent="0.35">
      <c r="B29" s="259">
        <v>99815</v>
      </c>
      <c r="D29" t="s">
        <v>183</v>
      </c>
      <c r="G29" s="80"/>
      <c r="H29" s="80">
        <v>114006</v>
      </c>
    </row>
    <row r="30" spans="1:8" x14ac:dyDescent="0.35">
      <c r="B30" s="259">
        <v>14190.39</v>
      </c>
      <c r="D30" t="s">
        <v>184</v>
      </c>
      <c r="G30" s="80"/>
      <c r="H30" s="80">
        <v>388099.68</v>
      </c>
    </row>
    <row r="31" spans="1:8" x14ac:dyDescent="0.35">
      <c r="B31" s="259">
        <v>1</v>
      </c>
      <c r="D31" t="s">
        <v>764</v>
      </c>
      <c r="G31" s="80"/>
      <c r="H31" s="80">
        <v>-0.3</v>
      </c>
    </row>
    <row r="32" spans="1:8" x14ac:dyDescent="0.35">
      <c r="B32" s="549"/>
      <c r="G32" s="80"/>
      <c r="H32" s="1340"/>
    </row>
    <row r="33" spans="2:8" x14ac:dyDescent="0.35">
      <c r="B33" s="548">
        <f>B29+B30+B31</f>
        <v>114006.39</v>
      </c>
      <c r="D33" t="s">
        <v>185</v>
      </c>
      <c r="G33" s="80"/>
      <c r="H33" s="133">
        <f>H29+H30+H31</f>
        <v>502105.38</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A4FF0-877D-496A-BA48-CBE9629B78D7}">
  <dimension ref="A1"/>
  <sheetViews>
    <sheetView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DF572-71BB-4C18-8F78-C409C91A0AA7}">
  <sheetPr>
    <pageSetUpPr fitToPage="1"/>
  </sheetPr>
  <dimension ref="A4:M17"/>
  <sheetViews>
    <sheetView workbookViewId="0">
      <selection activeCell="Q13" sqref="Q13"/>
    </sheetView>
  </sheetViews>
  <sheetFormatPr defaultRowHeight="14.5" x14ac:dyDescent="0.35"/>
  <cols>
    <col min="1" max="1" width="10.7265625" bestFit="1" customWidth="1"/>
    <col min="2" max="2" width="16.54296875" bestFit="1" customWidth="1"/>
    <col min="3" max="3" width="6.54296875" customWidth="1"/>
    <col min="4" max="4" width="21.54296875" customWidth="1"/>
    <col min="6" max="6" width="7.7265625" customWidth="1"/>
    <col min="9" max="9" width="12.54296875" customWidth="1"/>
    <col min="10" max="10" width="7.1796875" customWidth="1"/>
    <col min="12" max="12" width="13" customWidth="1"/>
    <col min="13" max="13" width="12" customWidth="1"/>
  </cols>
  <sheetData>
    <row r="4" spans="1:13" x14ac:dyDescent="0.35">
      <c r="A4" s="50"/>
      <c r="C4" s="50"/>
      <c r="D4" s="50"/>
    </row>
    <row r="5" spans="1:13" ht="29" x14ac:dyDescent="0.35">
      <c r="B5" s="1237">
        <v>45462</v>
      </c>
      <c r="E5" s="1" t="s">
        <v>51</v>
      </c>
      <c r="F5" s="1238" t="s">
        <v>72</v>
      </c>
      <c r="G5" s="1" t="s">
        <v>58</v>
      </c>
      <c r="H5" s="1" t="s">
        <v>102</v>
      </c>
      <c r="I5" s="1" t="s">
        <v>863</v>
      </c>
      <c r="J5" s="1233" t="s">
        <v>862</v>
      </c>
      <c r="K5" s="1" t="s">
        <v>161</v>
      </c>
      <c r="L5" s="1233" t="s">
        <v>864</v>
      </c>
      <c r="M5" s="1233" t="s">
        <v>865</v>
      </c>
    </row>
    <row r="6" spans="1:13" x14ac:dyDescent="0.35">
      <c r="A6" s="50"/>
      <c r="C6" s="1236">
        <v>1</v>
      </c>
      <c r="D6" s="1236" t="s">
        <v>161</v>
      </c>
      <c r="E6" s="41">
        <v>26</v>
      </c>
      <c r="F6" s="1239">
        <f t="shared" ref="F6:F15" si="0">SUM(G6:M6)</f>
        <v>26</v>
      </c>
      <c r="G6" s="41">
        <v>0</v>
      </c>
      <c r="H6" s="41"/>
      <c r="I6" s="41"/>
      <c r="J6" s="41"/>
      <c r="K6" s="41">
        <v>26</v>
      </c>
      <c r="L6" s="41"/>
    </row>
    <row r="7" spans="1:13" x14ac:dyDescent="0.35">
      <c r="A7" s="50"/>
      <c r="C7" s="1236">
        <v>2</v>
      </c>
      <c r="D7" s="1236" t="s">
        <v>866</v>
      </c>
      <c r="E7" s="41">
        <v>31.2</v>
      </c>
      <c r="F7" s="1239">
        <f t="shared" si="0"/>
        <v>31.2</v>
      </c>
      <c r="G7" s="41">
        <v>0</v>
      </c>
      <c r="H7" s="41">
        <v>31.2</v>
      </c>
      <c r="I7" s="41"/>
      <c r="J7" s="41"/>
      <c r="K7" s="41"/>
      <c r="L7" s="41"/>
    </row>
    <row r="8" spans="1:13" x14ac:dyDescent="0.35">
      <c r="A8" s="50"/>
      <c r="B8" s="50"/>
      <c r="C8" s="1236">
        <v>3</v>
      </c>
      <c r="D8" s="1236" t="s">
        <v>867</v>
      </c>
      <c r="E8" s="41">
        <v>114.6</v>
      </c>
      <c r="F8" s="1239">
        <f t="shared" si="0"/>
        <v>114.6</v>
      </c>
      <c r="G8" s="41">
        <v>19.100000000000001</v>
      </c>
      <c r="H8" s="41"/>
      <c r="I8" s="41"/>
      <c r="J8" s="41">
        <v>95.5</v>
      </c>
      <c r="K8" s="41"/>
      <c r="L8" s="41"/>
    </row>
    <row r="9" spans="1:13" x14ac:dyDescent="0.35">
      <c r="A9" s="50"/>
      <c r="B9" s="50"/>
      <c r="C9" s="1236">
        <v>4</v>
      </c>
      <c r="D9" s="1236" t="s">
        <v>868</v>
      </c>
      <c r="E9" s="41">
        <v>8.5</v>
      </c>
      <c r="F9" s="1239">
        <f t="shared" si="0"/>
        <v>8.5</v>
      </c>
      <c r="G9" s="41">
        <v>1.42</v>
      </c>
      <c r="H9" s="41"/>
      <c r="I9" s="41">
        <v>7.08</v>
      </c>
      <c r="J9" s="41"/>
      <c r="K9" s="41"/>
      <c r="L9" s="41"/>
    </row>
    <row r="10" spans="1:13" x14ac:dyDescent="0.35">
      <c r="B10" s="50"/>
      <c r="C10" s="1236">
        <v>5</v>
      </c>
      <c r="D10" s="1236" t="s">
        <v>869</v>
      </c>
      <c r="E10" s="41">
        <v>64.790000000000006</v>
      </c>
      <c r="F10" s="1239">
        <f t="shared" si="0"/>
        <v>64.790000000000006</v>
      </c>
      <c r="G10" s="41">
        <v>10.8</v>
      </c>
      <c r="H10" s="41"/>
      <c r="I10" s="41"/>
      <c r="J10" s="41"/>
      <c r="K10" s="41"/>
      <c r="L10" s="41">
        <v>53.99</v>
      </c>
    </row>
    <row r="11" spans="1:13" x14ac:dyDescent="0.35">
      <c r="B11" s="50"/>
      <c r="C11" s="1236">
        <v>6</v>
      </c>
      <c r="D11" s="1236" t="s">
        <v>870</v>
      </c>
      <c r="E11" s="41">
        <v>123.9</v>
      </c>
      <c r="F11" s="1239">
        <f t="shared" si="0"/>
        <v>123.9</v>
      </c>
      <c r="G11" s="41">
        <v>20.65</v>
      </c>
      <c r="H11" s="41"/>
      <c r="I11" s="41"/>
      <c r="J11" s="41"/>
      <c r="K11" s="41"/>
      <c r="L11" s="41"/>
      <c r="M11">
        <v>103.25</v>
      </c>
    </row>
    <row r="12" spans="1:13" x14ac:dyDescent="0.35">
      <c r="B12" s="50"/>
      <c r="C12" s="1236">
        <v>7</v>
      </c>
      <c r="D12" s="1236" t="s">
        <v>871</v>
      </c>
      <c r="E12" s="41">
        <v>5</v>
      </c>
      <c r="F12" s="1239">
        <f t="shared" si="0"/>
        <v>5</v>
      </c>
      <c r="G12" s="41">
        <v>0.17</v>
      </c>
      <c r="H12" s="41"/>
      <c r="I12" s="41">
        <v>4.83</v>
      </c>
      <c r="J12" s="41"/>
      <c r="K12" s="41"/>
      <c r="L12" s="41"/>
    </row>
    <row r="13" spans="1:13" x14ac:dyDescent="0.35">
      <c r="B13" s="50"/>
      <c r="C13" s="1236">
        <v>8</v>
      </c>
      <c r="D13" s="1236"/>
      <c r="E13" s="41"/>
      <c r="F13" s="1239">
        <f t="shared" si="0"/>
        <v>0</v>
      </c>
      <c r="G13" s="41"/>
      <c r="H13" s="41"/>
      <c r="I13" s="41"/>
      <c r="J13" s="41"/>
      <c r="K13" s="41"/>
      <c r="L13" s="41"/>
    </row>
    <row r="14" spans="1:13" x14ac:dyDescent="0.35">
      <c r="B14" s="50"/>
      <c r="C14" s="1236">
        <v>9</v>
      </c>
      <c r="D14" s="1236" t="s">
        <v>872</v>
      </c>
      <c r="E14" s="41">
        <v>933.82</v>
      </c>
      <c r="F14" s="1239">
        <f t="shared" si="0"/>
        <v>0</v>
      </c>
      <c r="G14" s="41"/>
      <c r="H14" s="41"/>
      <c r="I14" s="41"/>
      <c r="J14" s="1234"/>
      <c r="K14" s="41"/>
      <c r="L14" s="41"/>
    </row>
    <row r="15" spans="1:13" x14ac:dyDescent="0.35">
      <c r="B15" s="50"/>
      <c r="C15" s="1236"/>
      <c r="D15" s="1236"/>
      <c r="E15" s="41"/>
      <c r="F15" s="1239">
        <f t="shared" si="0"/>
        <v>0</v>
      </c>
      <c r="G15" s="41"/>
      <c r="H15" s="41"/>
      <c r="I15" s="41"/>
      <c r="J15" s="1234"/>
      <c r="K15" s="41"/>
      <c r="L15" s="41"/>
    </row>
    <row r="16" spans="1:13" ht="15" thickBot="1" x14ac:dyDescent="0.4">
      <c r="E16" s="1235">
        <f t="shared" ref="E16:M16" si="1">SUM(E6:E15)</f>
        <v>1307.81</v>
      </c>
      <c r="F16" s="1240"/>
      <c r="G16" s="1235">
        <f t="shared" si="1"/>
        <v>52.14</v>
      </c>
      <c r="H16" s="1235">
        <f t="shared" si="1"/>
        <v>31.2</v>
      </c>
      <c r="I16" s="1235">
        <f t="shared" si="1"/>
        <v>11.91</v>
      </c>
      <c r="J16" s="1235">
        <f t="shared" si="1"/>
        <v>95.5</v>
      </c>
      <c r="K16" s="1235">
        <f t="shared" si="1"/>
        <v>26</v>
      </c>
      <c r="L16" s="1235">
        <f t="shared" si="1"/>
        <v>53.99</v>
      </c>
      <c r="M16" s="1235">
        <f t="shared" si="1"/>
        <v>103.25</v>
      </c>
    </row>
    <row r="17" ht="15" thickTop="1" x14ac:dyDescent="0.35"/>
  </sheetData>
  <pageMargins left="0.7" right="0.7" top="0.75" bottom="0.75" header="0.3" footer="0.3"/>
  <pageSetup paperSize="9"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97C21-001E-4953-8202-B615004C7CD6}">
  <sheetPr>
    <pageSetUpPr fitToPage="1"/>
  </sheetPr>
  <dimension ref="A1:CA122"/>
  <sheetViews>
    <sheetView workbookViewId="0">
      <selection activeCell="BR14" sqref="BR14"/>
    </sheetView>
  </sheetViews>
  <sheetFormatPr defaultRowHeight="14.5" x14ac:dyDescent="0.35"/>
  <cols>
    <col min="1" max="1" width="27.453125" customWidth="1"/>
    <col min="2" max="2" width="12.453125" style="1" hidden="1" customWidth="1"/>
    <col min="3" max="3" width="12.453125" hidden="1" customWidth="1"/>
    <col min="4" max="4" width="5.54296875" hidden="1" customWidth="1"/>
    <col min="5" max="5" width="11.7265625" hidden="1" customWidth="1"/>
    <col min="6" max="6" width="5.54296875" hidden="1" customWidth="1"/>
    <col min="7" max="7" width="10.453125" style="1" hidden="1" customWidth="1"/>
    <col min="8" max="8" width="10.453125" style="102" hidden="1" customWidth="1"/>
    <col min="9" max="9" width="20.26953125" hidden="1" customWidth="1"/>
    <col min="10" max="10" width="11.26953125" style="94" hidden="1" customWidth="1"/>
    <col min="11" max="11" width="8.26953125" style="94" hidden="1" customWidth="1"/>
    <col min="12" max="12" width="12.26953125" hidden="1" customWidth="1"/>
    <col min="13" max="13" width="10.1796875" style="71" hidden="1" customWidth="1"/>
    <col min="14" max="14" width="10.1796875" style="87" hidden="1" customWidth="1"/>
    <col min="15" max="15" width="10.1796875" style="85" hidden="1" customWidth="1"/>
    <col min="16" max="16" width="10.7265625" style="87" hidden="1" customWidth="1"/>
    <col min="17" max="17" width="24.7265625" style="71" hidden="1" customWidth="1"/>
    <col min="18" max="18" width="9.7265625" style="71" hidden="1" customWidth="1"/>
    <col min="19" max="19" width="12.7265625" hidden="1" customWidth="1"/>
    <col min="20" max="20" width="18.54296875" hidden="1" customWidth="1"/>
    <col min="21" max="21" width="11.54296875" style="94" hidden="1" customWidth="1"/>
    <col min="22" max="22" width="12.26953125" style="94" hidden="1" customWidth="1"/>
    <col min="23" max="23" width="12.26953125" style="102" hidden="1" customWidth="1"/>
    <col min="24" max="24" width="12.26953125" style="94" hidden="1" customWidth="1"/>
    <col min="25" max="25" width="8.26953125" style="82" hidden="1" customWidth="1"/>
    <col min="26" max="26" width="14.1796875" style="2" hidden="1" customWidth="1"/>
    <col min="27" max="27" width="11.81640625" style="4" hidden="1" customWidth="1"/>
    <col min="28" max="28" width="12.81640625" style="4" hidden="1" customWidth="1"/>
    <col min="29" max="29" width="13.81640625" style="2" hidden="1" customWidth="1"/>
    <col min="30" max="30" width="12.81640625" style="2" hidden="1" customWidth="1"/>
    <col min="31" max="33" width="17.26953125" style="4" hidden="1" customWidth="1"/>
    <col min="34" max="34" width="17.26953125" style="260" hidden="1" customWidth="1"/>
    <col min="35" max="35" width="17.26953125" style="261" hidden="1" customWidth="1"/>
    <col min="36" max="36" width="12.81640625" style="210" hidden="1" customWidth="1"/>
    <col min="37" max="37" width="22.81640625" style="4" hidden="1" customWidth="1"/>
    <col min="38" max="38" width="11.54296875" style="2" hidden="1" customWidth="1"/>
    <col min="39" max="39" width="10.7265625" style="2" hidden="1" customWidth="1"/>
    <col min="40" max="40" width="12.81640625" style="111" hidden="1" customWidth="1"/>
    <col min="41" max="41" width="13.453125" style="111" hidden="1" customWidth="1"/>
    <col min="42" max="42" width="11.54296875" style="111" hidden="1" customWidth="1"/>
    <col min="43" max="43" width="11.453125" style="111" hidden="1" customWidth="1"/>
    <col min="44" max="44" width="11.54296875" style="111" hidden="1" customWidth="1"/>
    <col min="45" max="45" width="11.54296875" style="210" hidden="1" customWidth="1"/>
    <col min="46" max="46" width="11" style="111" hidden="1" customWidth="1"/>
    <col min="47" max="47" width="12.81640625" style="210" hidden="1" customWidth="1"/>
    <col min="48" max="48" width="24.54296875" style="18" hidden="1" customWidth="1"/>
    <col min="49" max="50" width="11.54296875" hidden="1" customWidth="1"/>
    <col min="51" max="51" width="10.54296875" style="80" hidden="1" customWidth="1"/>
    <col min="52" max="53" width="11.54296875" hidden="1" customWidth="1"/>
    <col min="54" max="54" width="11.81640625" style="82" customWidth="1"/>
    <col min="55" max="57" width="12.26953125" style="316" hidden="1" customWidth="1"/>
    <col min="58" max="62" width="12.26953125" style="413" hidden="1" customWidth="1"/>
    <col min="63" max="63" width="12.26953125" style="452" hidden="1" customWidth="1"/>
    <col min="64" max="64" width="11.54296875" style="310" hidden="1" customWidth="1"/>
    <col min="65" max="65" width="11.54296875" style="310" customWidth="1"/>
    <col min="66" max="66" width="11.54296875" style="501" hidden="1" customWidth="1"/>
    <col min="67" max="67" width="15.26953125" customWidth="1"/>
    <col min="68" max="68" width="12.453125" style="1200" customWidth="1"/>
    <col min="69" max="71" width="15.26953125" customWidth="1"/>
    <col min="72" max="72" width="12.26953125" customWidth="1"/>
    <col min="74" max="74" width="33.81640625" customWidth="1"/>
    <col min="76" max="76" width="11.54296875" bestFit="1" customWidth="1"/>
    <col min="77" max="77" width="12.54296875" bestFit="1" customWidth="1"/>
    <col min="78" max="78" width="14.81640625" customWidth="1"/>
    <col min="79" max="79" width="11.1796875" style="310" customWidth="1"/>
    <col min="80" max="80" width="13.1796875" customWidth="1"/>
  </cols>
  <sheetData>
    <row r="1" spans="1:79" x14ac:dyDescent="0.35">
      <c r="AH1" s="260" t="s">
        <v>194</v>
      </c>
      <c r="AI1" s="276">
        <v>8.32</v>
      </c>
    </row>
    <row r="2" spans="1:79" ht="15" thickBot="1" x14ac:dyDescent="0.4"/>
    <row r="3" spans="1:79" ht="73" thickBot="1" x14ac:dyDescent="0.4">
      <c r="A3" s="2"/>
      <c r="B3" s="149" t="s">
        <v>97</v>
      </c>
      <c r="C3" s="150" t="s">
        <v>0</v>
      </c>
      <c r="D3" s="1" t="s">
        <v>1</v>
      </c>
      <c r="E3" s="151" t="s">
        <v>2</v>
      </c>
      <c r="F3" s="152" t="s">
        <v>1</v>
      </c>
      <c r="G3" s="153" t="s">
        <v>3</v>
      </c>
      <c r="H3" s="154" t="s">
        <v>99</v>
      </c>
      <c r="I3" s="155" t="s">
        <v>4</v>
      </c>
      <c r="J3" s="156" t="s">
        <v>158</v>
      </c>
      <c r="K3" s="156" t="s">
        <v>100</v>
      </c>
      <c r="L3" s="1191" t="s">
        <v>98</v>
      </c>
      <c r="M3" s="157" t="s">
        <v>112</v>
      </c>
      <c r="N3" s="158" t="s">
        <v>107</v>
      </c>
      <c r="O3" s="159" t="s">
        <v>113</v>
      </c>
      <c r="P3" s="156" t="s">
        <v>114</v>
      </c>
      <c r="Q3" s="76" t="s">
        <v>115</v>
      </c>
      <c r="R3" s="76" t="s">
        <v>104</v>
      </c>
      <c r="S3" s="3" t="s">
        <v>5</v>
      </c>
      <c r="T3" s="3" t="s">
        <v>6</v>
      </c>
      <c r="U3" s="160" t="s">
        <v>120</v>
      </c>
      <c r="V3" s="161" t="s">
        <v>121</v>
      </c>
      <c r="W3" s="160" t="s">
        <v>127</v>
      </c>
      <c r="X3" s="160" t="s">
        <v>128</v>
      </c>
      <c r="Y3" s="114" t="s">
        <v>123</v>
      </c>
      <c r="Z3" s="231" t="s">
        <v>130</v>
      </c>
      <c r="AA3" s="204" t="s">
        <v>132</v>
      </c>
      <c r="AB3" s="204" t="s">
        <v>133</v>
      </c>
      <c r="AC3" s="236" t="s">
        <v>136</v>
      </c>
      <c r="AD3" s="236" t="s">
        <v>137</v>
      </c>
      <c r="AE3" s="237" t="s">
        <v>142</v>
      </c>
      <c r="AF3" s="237" t="s">
        <v>159</v>
      </c>
      <c r="AG3" s="237" t="s">
        <v>160</v>
      </c>
      <c r="AH3" s="1198" t="s">
        <v>187</v>
      </c>
      <c r="AI3" s="262" t="s">
        <v>188</v>
      </c>
      <c r="AJ3" s="287" t="s">
        <v>189</v>
      </c>
      <c r="AK3" s="288" t="s">
        <v>152</v>
      </c>
      <c r="AL3" s="289" t="s">
        <v>157</v>
      </c>
      <c r="AM3" s="290" t="s">
        <v>155</v>
      </c>
      <c r="AN3" s="291" t="s">
        <v>190</v>
      </c>
      <c r="AO3" s="291" t="s">
        <v>200</v>
      </c>
      <c r="AP3" s="296" t="s">
        <v>224</v>
      </c>
      <c r="AQ3" s="296" t="s">
        <v>201</v>
      </c>
      <c r="AR3" s="296" t="s">
        <v>202</v>
      </c>
      <c r="AS3" s="296" t="s">
        <v>229</v>
      </c>
      <c r="AT3" s="267" t="s">
        <v>204</v>
      </c>
      <c r="AU3" s="1219" t="s">
        <v>227</v>
      </c>
      <c r="AV3" s="414" t="s">
        <v>206</v>
      </c>
      <c r="AW3" s="415" t="s">
        <v>778</v>
      </c>
      <c r="AX3" s="415" t="s">
        <v>230</v>
      </c>
      <c r="AY3" s="333" t="s">
        <v>245</v>
      </c>
      <c r="AZ3" s="309" t="s">
        <v>247</v>
      </c>
      <c r="BA3" s="337" t="s">
        <v>248</v>
      </c>
      <c r="BB3" s="423" t="s">
        <v>294</v>
      </c>
      <c r="BC3" s="431" t="s">
        <v>246</v>
      </c>
      <c r="BD3" s="483" t="s">
        <v>298</v>
      </c>
      <c r="BE3" s="483" t="s">
        <v>299</v>
      </c>
      <c r="BF3" s="422" t="s">
        <v>292</v>
      </c>
      <c r="BG3" s="432" t="s">
        <v>296</v>
      </c>
      <c r="BH3" s="309" t="s">
        <v>319</v>
      </c>
      <c r="BI3" s="309" t="s">
        <v>321</v>
      </c>
      <c r="BJ3" s="480" t="s">
        <v>322</v>
      </c>
      <c r="BK3" s="453" t="s">
        <v>303</v>
      </c>
      <c r="BL3" s="461" t="s">
        <v>302</v>
      </c>
      <c r="BM3" s="513" t="s">
        <v>340</v>
      </c>
      <c r="BN3" s="514" t="s">
        <v>230</v>
      </c>
      <c r="BO3" s="1093" t="s">
        <v>303</v>
      </c>
      <c r="BP3" s="1221" t="s">
        <v>780</v>
      </c>
      <c r="BQ3" s="1089"/>
      <c r="BR3" s="1089"/>
      <c r="BS3" s="1089"/>
      <c r="BT3" s="459"/>
      <c r="BU3" s="1404" t="s">
        <v>331</v>
      </c>
      <c r="BV3" s="1405"/>
      <c r="BW3" s="218"/>
      <c r="BX3" s="487"/>
      <c r="BY3" s="488"/>
      <c r="BZ3" s="484">
        <f>BK56</f>
        <v>30602.404399999999</v>
      </c>
      <c r="CA3" s="312" t="s">
        <v>336</v>
      </c>
    </row>
    <row r="4" spans="1:79" ht="15.5" x14ac:dyDescent="0.35">
      <c r="A4" s="4"/>
      <c r="B4" s="162"/>
      <c r="C4" s="163"/>
      <c r="D4" s="164"/>
      <c r="E4" s="165"/>
      <c r="F4" s="164"/>
      <c r="G4" s="166"/>
      <c r="H4" s="167"/>
      <c r="I4" s="168"/>
      <c r="J4" s="169"/>
      <c r="K4" s="170">
        <f>12/12</f>
        <v>1</v>
      </c>
      <c r="L4" s="1192"/>
      <c r="M4" s="171"/>
      <c r="N4" s="172">
        <f>3/12</f>
        <v>0.25</v>
      </c>
      <c r="O4" s="173"/>
      <c r="P4" s="174">
        <f>6/12</f>
        <v>0.5</v>
      </c>
      <c r="Q4" s="175"/>
      <c r="R4" s="175"/>
      <c r="S4" s="168"/>
      <c r="T4" s="164"/>
      <c r="U4" s="107"/>
      <c r="V4" s="109"/>
      <c r="W4" s="115"/>
      <c r="X4" s="107"/>
      <c r="Y4" s="176"/>
      <c r="Z4" s="232"/>
      <c r="AA4" s="201"/>
      <c r="AB4" s="203">
        <f>3/12</f>
        <v>0.25</v>
      </c>
      <c r="AC4" s="224"/>
      <c r="AD4" s="228">
        <f>7/12</f>
        <v>0.58333333333333337</v>
      </c>
      <c r="AE4" s="211"/>
      <c r="AF4" s="238"/>
      <c r="AG4" s="238"/>
      <c r="AH4" s="221"/>
      <c r="AI4" s="238"/>
      <c r="AJ4" s="221"/>
      <c r="AK4" s="215"/>
      <c r="AL4" s="246"/>
      <c r="AM4" s="268"/>
      <c r="AN4" s="269"/>
      <c r="AO4" s="281"/>
      <c r="AP4" s="298"/>
      <c r="AQ4" s="299"/>
      <c r="AR4" s="297"/>
      <c r="AS4" s="297"/>
      <c r="AT4" s="269"/>
      <c r="AU4" s="1220"/>
      <c r="AV4" s="73"/>
      <c r="AW4" s="292"/>
      <c r="AX4" s="314">
        <f>7/12</f>
        <v>0.58333333333333337</v>
      </c>
      <c r="AY4" s="334"/>
      <c r="AZ4" s="314"/>
      <c r="BA4" s="314"/>
      <c r="BB4" s="338"/>
      <c r="BC4" s="433"/>
      <c r="BD4" s="439"/>
      <c r="BE4" s="445"/>
      <c r="BF4" s="416"/>
      <c r="BG4" s="427">
        <f>7/12</f>
        <v>0.58333333333333337</v>
      </c>
      <c r="BH4" s="427"/>
      <c r="BI4" s="427"/>
      <c r="BJ4" s="427"/>
      <c r="BK4" s="454"/>
      <c r="BM4" s="504"/>
      <c r="BN4" s="505"/>
      <c r="BO4" s="1094"/>
      <c r="BP4" s="1222"/>
      <c r="BQ4" s="1090"/>
      <c r="BR4" s="1090"/>
      <c r="BS4" s="1090"/>
      <c r="BU4" s="17" t="s">
        <v>48</v>
      </c>
      <c r="BV4" s="30"/>
      <c r="BW4" s="2"/>
      <c r="BX4" s="485"/>
      <c r="BY4" s="260"/>
      <c r="BZ4" s="489"/>
    </row>
    <row r="5" spans="1:79" ht="15.5" x14ac:dyDescent="0.35">
      <c r="A5" s="2"/>
      <c r="B5" s="5"/>
      <c r="C5" t="s">
        <v>7</v>
      </c>
      <c r="D5" s="177">
        <f>3/12</f>
        <v>0.25</v>
      </c>
      <c r="E5" s="6" t="s">
        <v>8</v>
      </c>
      <c r="F5" s="178">
        <f>10/12</f>
        <v>0.83333333333333337</v>
      </c>
      <c r="G5" s="121"/>
      <c r="H5" s="104"/>
      <c r="I5" s="126"/>
      <c r="J5" s="96"/>
      <c r="K5" s="77"/>
      <c r="L5" s="1193"/>
      <c r="M5" s="86"/>
      <c r="N5" s="88"/>
      <c r="O5" s="92"/>
      <c r="P5" s="93"/>
      <c r="Q5" s="179"/>
      <c r="R5" s="179"/>
      <c r="S5" s="126"/>
      <c r="U5" s="108"/>
      <c r="W5" s="116"/>
      <c r="X5" s="108"/>
      <c r="Z5" s="233"/>
      <c r="AA5" s="202"/>
      <c r="AB5" s="203"/>
      <c r="AC5" s="225"/>
      <c r="AD5" s="228"/>
      <c r="AE5" s="203"/>
      <c r="AF5" s="239"/>
      <c r="AG5" s="239"/>
      <c r="AH5" s="222"/>
      <c r="AI5" s="239"/>
      <c r="AJ5" s="222"/>
      <c r="AK5" s="215"/>
      <c r="AL5" s="246"/>
      <c r="AM5" s="268"/>
      <c r="AN5" s="270"/>
      <c r="AO5" s="282"/>
      <c r="AP5" s="301"/>
      <c r="AQ5" s="302"/>
      <c r="AR5" s="300"/>
      <c r="AS5" s="300"/>
      <c r="AT5" s="270"/>
      <c r="AU5" s="266"/>
      <c r="AV5" s="73"/>
      <c r="AW5" s="293"/>
      <c r="AX5" s="315"/>
      <c r="AY5" s="335"/>
      <c r="AZ5" s="315"/>
      <c r="BA5" s="315"/>
      <c r="BB5" s="339"/>
      <c r="BC5" s="434"/>
      <c r="BD5" s="440"/>
      <c r="BE5" s="446"/>
      <c r="BF5" s="294"/>
      <c r="BG5" s="428"/>
      <c r="BH5" s="428"/>
      <c r="BI5" s="428"/>
      <c r="BJ5" s="428"/>
      <c r="BK5" s="455"/>
      <c r="BM5" s="507"/>
      <c r="BN5" s="508"/>
      <c r="BO5" s="1095"/>
      <c r="BP5" s="1223"/>
      <c r="BQ5" s="1090"/>
      <c r="BR5" s="1090"/>
      <c r="BS5" s="1090"/>
      <c r="BU5" s="20" t="s">
        <v>312</v>
      </c>
      <c r="BV5" s="2"/>
      <c r="BW5" s="2" t="s">
        <v>314</v>
      </c>
      <c r="BX5" s="473">
        <f>80220.26-10626.51</f>
        <v>69593.75</v>
      </c>
      <c r="BY5" s="260"/>
      <c r="BZ5" s="490"/>
      <c r="CA5" s="319" t="s">
        <v>318</v>
      </c>
    </row>
    <row r="6" spans="1:79" ht="15.5" x14ac:dyDescent="0.35">
      <c r="A6" s="7" t="s">
        <v>9</v>
      </c>
      <c r="B6" s="8"/>
      <c r="C6" s="180"/>
      <c r="D6" s="177"/>
      <c r="E6" s="6"/>
      <c r="G6" s="120"/>
      <c r="H6" s="103"/>
      <c r="I6" s="125"/>
      <c r="J6" s="95"/>
      <c r="K6" s="97"/>
      <c r="L6" s="1194"/>
      <c r="M6" s="86"/>
      <c r="N6" s="88"/>
      <c r="O6" s="92"/>
      <c r="P6" s="93"/>
      <c r="Q6" s="179"/>
      <c r="R6" s="179"/>
      <c r="S6" s="125"/>
      <c r="U6" s="108"/>
      <c r="W6" s="116"/>
      <c r="X6" s="108"/>
      <c r="Z6" s="234"/>
      <c r="AA6" s="201"/>
      <c r="AB6" s="203"/>
      <c r="AC6" s="224"/>
      <c r="AD6" s="228"/>
      <c r="AE6" s="203"/>
      <c r="AF6" s="239"/>
      <c r="AG6" s="239"/>
      <c r="AH6" s="222"/>
      <c r="AI6" s="239"/>
      <c r="AJ6" s="222"/>
      <c r="AK6" s="215"/>
      <c r="AL6" s="246"/>
      <c r="AM6" s="268"/>
      <c r="AN6" s="270"/>
      <c r="AO6" s="282"/>
      <c r="AP6" s="301"/>
      <c r="AQ6" s="302"/>
      <c r="AR6" s="300"/>
      <c r="AS6" s="300"/>
      <c r="AT6" s="270"/>
      <c r="AU6" s="266"/>
      <c r="AV6" s="73"/>
      <c r="AW6" s="293"/>
      <c r="AX6" s="315"/>
      <c r="AY6" s="335"/>
      <c r="AZ6" s="315"/>
      <c r="BA6" s="315"/>
      <c r="BB6" s="340"/>
      <c r="BC6" s="434"/>
      <c r="BD6" s="440"/>
      <c r="BE6" s="446"/>
      <c r="BF6" s="294"/>
      <c r="BG6" s="428"/>
      <c r="BH6" s="428"/>
      <c r="BI6" s="428"/>
      <c r="BJ6" s="428"/>
      <c r="BK6" s="455"/>
      <c r="BM6" s="507"/>
      <c r="BN6" s="508"/>
      <c r="BO6" s="1095"/>
      <c r="BP6" s="1223"/>
      <c r="BQ6" s="1090"/>
      <c r="BR6" s="1090"/>
      <c r="BS6" s="1090"/>
      <c r="BU6" s="20" t="s">
        <v>313</v>
      </c>
      <c r="BV6" s="2"/>
      <c r="BW6" s="4" t="s">
        <v>315</v>
      </c>
      <c r="BX6" s="491">
        <v>25000</v>
      </c>
      <c r="BY6" s="260"/>
      <c r="BZ6" s="492"/>
      <c r="CA6" s="319"/>
    </row>
    <row r="7" spans="1:79" ht="15.5" x14ac:dyDescent="0.35">
      <c r="A7" s="7"/>
      <c r="B7" s="8"/>
      <c r="C7" s="180"/>
      <c r="D7" s="177"/>
      <c r="E7" s="6"/>
      <c r="G7" s="120"/>
      <c r="H7" s="103"/>
      <c r="I7" s="125"/>
      <c r="J7" s="95"/>
      <c r="K7" s="97"/>
      <c r="L7" s="1194"/>
      <c r="M7" s="86"/>
      <c r="N7" s="88"/>
      <c r="O7" s="92"/>
      <c r="P7" s="93"/>
      <c r="Q7" s="179"/>
      <c r="R7" s="179"/>
      <c r="S7" s="125"/>
      <c r="U7" s="108"/>
      <c r="W7" s="116"/>
      <c r="X7" s="108"/>
      <c r="Z7" s="234"/>
      <c r="AA7" s="201"/>
      <c r="AB7" s="203"/>
      <c r="AC7" s="224"/>
      <c r="AD7" s="228"/>
      <c r="AE7" s="203"/>
      <c r="AF7" s="239"/>
      <c r="AG7" s="239"/>
      <c r="AH7" s="222"/>
      <c r="AI7" s="239"/>
      <c r="AJ7" s="222"/>
      <c r="AK7" s="215"/>
      <c r="AL7" s="246"/>
      <c r="AM7" s="268"/>
      <c r="AN7" s="270"/>
      <c r="AO7" s="282"/>
      <c r="AP7" s="301"/>
      <c r="AQ7" s="302"/>
      <c r="AR7" s="300"/>
      <c r="AS7" s="300"/>
      <c r="AT7" s="270"/>
      <c r="AU7" s="266"/>
      <c r="AV7" s="73"/>
      <c r="AW7" s="293"/>
      <c r="AX7" s="315"/>
      <c r="AY7" s="335"/>
      <c r="AZ7" s="315"/>
      <c r="BA7" s="315"/>
      <c r="BB7" s="340"/>
      <c r="BC7" s="434"/>
      <c r="BD7" s="440"/>
      <c r="BE7" s="446"/>
      <c r="BF7" s="294"/>
      <c r="BG7" s="428"/>
      <c r="BH7" s="428"/>
      <c r="BI7" s="428"/>
      <c r="BJ7" s="428"/>
      <c r="BK7" s="455"/>
      <c r="BM7" s="507"/>
      <c r="BN7" s="508"/>
      <c r="BO7" s="1095"/>
      <c r="BP7" s="1223"/>
      <c r="BQ7" s="1090"/>
      <c r="BR7" s="1090"/>
      <c r="BS7" s="1090"/>
      <c r="BU7" s="20"/>
      <c r="BV7" s="2"/>
      <c r="BW7" s="4"/>
      <c r="BX7" s="491"/>
      <c r="BY7" s="260"/>
      <c r="BZ7" s="492"/>
      <c r="CA7" s="319"/>
    </row>
    <row r="8" spans="1:79" ht="32.5" x14ac:dyDescent="0.35">
      <c r="A8" s="2" t="s">
        <v>10</v>
      </c>
      <c r="B8" s="9">
        <v>6700</v>
      </c>
      <c r="C8" s="181">
        <v>1407.14</v>
      </c>
      <c r="D8" s="177">
        <f>C8/B8</f>
        <v>0.21002089552238806</v>
      </c>
      <c r="E8" s="6">
        <v>4634.05</v>
      </c>
      <c r="F8" s="178">
        <f>E8/B8</f>
        <v>0.69164925373134334</v>
      </c>
      <c r="G8" s="122">
        <f>(E8/10)*12+(E8/10)*12*3/100</f>
        <v>5727.6858000000002</v>
      </c>
      <c r="H8" s="105">
        <v>5095.8100000000004</v>
      </c>
      <c r="I8" s="127">
        <v>6000</v>
      </c>
      <c r="J8" s="96">
        <v>5557.57</v>
      </c>
      <c r="K8" s="77">
        <f>J8/I8</f>
        <v>0.92626166666666665</v>
      </c>
      <c r="L8" s="1195">
        <v>6000</v>
      </c>
      <c r="M8" s="86">
        <v>1385.28</v>
      </c>
      <c r="N8" s="88">
        <f t="shared" ref="N8:N27" si="0">M8/L8</f>
        <v>0.23088</v>
      </c>
      <c r="O8" s="92">
        <v>2825.28</v>
      </c>
      <c r="P8" s="93">
        <f>O8/L8</f>
        <v>0.47088000000000002</v>
      </c>
      <c r="Q8" s="179"/>
      <c r="R8" s="179"/>
      <c r="S8" s="127"/>
      <c r="U8" s="113">
        <v>4265.28</v>
      </c>
      <c r="V8" s="129">
        <f>U8/L8</f>
        <v>0.71087999999999996</v>
      </c>
      <c r="W8" s="117">
        <v>5705.28</v>
      </c>
      <c r="X8" s="130">
        <f>W8/L8</f>
        <v>0.95087999999999995</v>
      </c>
      <c r="Y8" s="182">
        <v>1440</v>
      </c>
      <c r="Z8" s="233">
        <v>6270</v>
      </c>
      <c r="AA8" s="205">
        <v>1440</v>
      </c>
      <c r="AB8" s="206">
        <f>AA8/Z8</f>
        <v>0.22966507177033493</v>
      </c>
      <c r="AC8" s="226">
        <v>3360</v>
      </c>
      <c r="AD8" s="229">
        <f>AC8/Z8</f>
        <v>0.53588516746411485</v>
      </c>
      <c r="AE8" s="214">
        <v>2400</v>
      </c>
      <c r="AF8" s="240">
        <f>AE8+AC8</f>
        <v>5760</v>
      </c>
      <c r="AG8" s="242">
        <f>AF8/Z8</f>
        <v>0.91866028708133973</v>
      </c>
      <c r="AH8" s="263">
        <v>5760</v>
      </c>
      <c r="AI8" s="242">
        <f>AH8/Z8</f>
        <v>0.91866028708133973</v>
      </c>
      <c r="AJ8" s="266">
        <v>7613</v>
      </c>
      <c r="AK8" s="216" t="s">
        <v>143</v>
      </c>
      <c r="AL8" s="256">
        <v>951.6</v>
      </c>
      <c r="AM8" s="268"/>
      <c r="AN8" s="271">
        <v>3585</v>
      </c>
      <c r="AO8" s="279">
        <v>5027.1499999999996</v>
      </c>
      <c r="AP8" s="304">
        <v>6926.74</v>
      </c>
      <c r="AQ8" s="305">
        <f>(40*15.83)*3</f>
        <v>1899.6000000000001</v>
      </c>
      <c r="AR8" s="303">
        <f>AO8+AQ8</f>
        <v>6926.75</v>
      </c>
      <c r="AS8" s="306">
        <f>AP8/AJ8</f>
        <v>0.90985682385393407</v>
      </c>
      <c r="AT8" s="271"/>
      <c r="AU8" s="266">
        <v>9000</v>
      </c>
      <c r="AV8" s="278" t="s">
        <v>211</v>
      </c>
      <c r="AW8" s="293">
        <v>8194.6299999999992</v>
      </c>
      <c r="AX8" s="315">
        <f>AW8/AU8</f>
        <v>0.9105144444444444</v>
      </c>
      <c r="AY8" s="335">
        <f>670*3</f>
        <v>2010</v>
      </c>
      <c r="AZ8" s="335">
        <f>AW8+AY8</f>
        <v>10204.629999999999</v>
      </c>
      <c r="BA8" s="315">
        <f>AZ8/AU8</f>
        <v>1.1338477777777778</v>
      </c>
      <c r="BB8" s="340">
        <v>9000</v>
      </c>
      <c r="BC8" s="434" t="s">
        <v>249</v>
      </c>
      <c r="BD8" s="440">
        <v>6683.77</v>
      </c>
      <c r="BE8" s="446">
        <v>0.74</v>
      </c>
      <c r="BF8" s="417">
        <f>'Natwest Expenses'!M132+'Natwest Expenses'!N132</f>
        <v>16653.53</v>
      </c>
      <c r="BG8" s="428">
        <f>BF8/BB8</f>
        <v>1.850392222222222</v>
      </c>
      <c r="BH8" s="476">
        <f>(40*18.05)*3</f>
        <v>2166</v>
      </c>
      <c r="BI8" s="476">
        <f>BH8+BD8</f>
        <v>8849.77</v>
      </c>
      <c r="BJ8" s="428">
        <f>BI8/BB8</f>
        <v>0.98330777777777778</v>
      </c>
      <c r="BK8" s="456">
        <f>((18.05*40)*12)+((18.05*40)*12)/100*20</f>
        <v>10396.799999999999</v>
      </c>
      <c r="BL8" s="460" t="s">
        <v>308</v>
      </c>
      <c r="BM8" s="509">
        <v>9505.6</v>
      </c>
      <c r="BN8" s="510">
        <f>BM8/BB8</f>
        <v>1.0561777777777779</v>
      </c>
      <c r="BO8" s="1095">
        <v>10396.799999999999</v>
      </c>
      <c r="BP8" s="1223">
        <v>15431.36</v>
      </c>
      <c r="BQ8" s="1090"/>
      <c r="BR8" s="1090"/>
      <c r="BS8" s="1090"/>
      <c r="BU8" s="20" t="s">
        <v>255</v>
      </c>
      <c r="BV8" s="2"/>
      <c r="BW8" s="2"/>
      <c r="BX8" s="493"/>
      <c r="BY8" s="326">
        <f>BX5+BX6-BX8</f>
        <v>94593.75</v>
      </c>
      <c r="BZ8" s="492"/>
      <c r="CA8" s="319"/>
    </row>
    <row r="9" spans="1:79" ht="15.5" x14ac:dyDescent="0.35">
      <c r="A9" s="2" t="s">
        <v>205</v>
      </c>
      <c r="B9" s="9"/>
      <c r="C9" s="181"/>
      <c r="D9" s="177"/>
      <c r="E9" s="6"/>
      <c r="F9" s="178"/>
      <c r="G9" s="122"/>
      <c r="H9" s="105"/>
      <c r="I9" s="127"/>
      <c r="J9" s="96"/>
      <c r="K9" s="77"/>
      <c r="L9" s="1195"/>
      <c r="M9" s="86"/>
      <c r="N9" s="88"/>
      <c r="O9" s="92"/>
      <c r="P9" s="93"/>
      <c r="Q9" s="179"/>
      <c r="R9" s="179"/>
      <c r="S9" s="127"/>
      <c r="U9" s="113"/>
      <c r="V9" s="129"/>
      <c r="W9" s="117"/>
      <c r="X9" s="130"/>
      <c r="Y9" s="182"/>
      <c r="Z9" s="233"/>
      <c r="AA9" s="205"/>
      <c r="AB9" s="206"/>
      <c r="AC9" s="226"/>
      <c r="AD9" s="229"/>
      <c r="AE9" s="214"/>
      <c r="AF9" s="240"/>
      <c r="AG9" s="242"/>
      <c r="AH9" s="263"/>
      <c r="AI9" s="242"/>
      <c r="AJ9" s="266"/>
      <c r="AK9" s="216"/>
      <c r="AL9" s="256"/>
      <c r="AM9" s="268"/>
      <c r="AN9" s="271"/>
      <c r="AO9" s="279"/>
      <c r="AP9" s="304">
        <v>948.23</v>
      </c>
      <c r="AQ9" s="305"/>
      <c r="AR9" s="303"/>
      <c r="AS9" s="306"/>
      <c r="AT9" s="271"/>
      <c r="AU9" s="266">
        <f>AU8/100*20.3</f>
        <v>1827</v>
      </c>
      <c r="AV9" s="278" t="s">
        <v>212</v>
      </c>
      <c r="AW9" s="293">
        <v>1865.95</v>
      </c>
      <c r="AX9" s="315">
        <f>AW9/AU9</f>
        <v>1.021319102353585</v>
      </c>
      <c r="AY9" s="335">
        <f>152.76*3</f>
        <v>458.28</v>
      </c>
      <c r="AZ9" s="335">
        <f>AW9+AY9</f>
        <v>2324.23</v>
      </c>
      <c r="BA9" s="315">
        <f>AZ9/AU9</f>
        <v>1.2721565407772304</v>
      </c>
      <c r="BB9" s="340">
        <v>2052</v>
      </c>
      <c r="BC9" s="435">
        <v>0.22800000000000001</v>
      </c>
      <c r="BD9" s="440">
        <v>1519.56</v>
      </c>
      <c r="BE9" s="446">
        <v>0.74</v>
      </c>
      <c r="BF9" s="417">
        <f>'Natwest Expenses'!O132</f>
        <v>3509.3600000000006</v>
      </c>
      <c r="BG9" s="428">
        <f>BF9/BB9</f>
        <v>1.7102144249512674</v>
      </c>
      <c r="BH9" s="476">
        <f>BH8*22.8%</f>
        <v>493.84800000000001</v>
      </c>
      <c r="BI9" s="476">
        <f t="shared" ref="BI9:BI52" si="1">BH9+BD9</f>
        <v>2013.4079999999999</v>
      </c>
      <c r="BJ9" s="428">
        <f t="shared" ref="BJ9:BJ56" si="2">BI9/BB9</f>
        <v>0.98119298245614028</v>
      </c>
      <c r="BK9" s="456">
        <f>BK8/100*22.8</f>
        <v>2370.4703999999997</v>
      </c>
      <c r="BL9" s="310" t="s">
        <v>304</v>
      </c>
      <c r="BM9" s="511">
        <v>2145.79</v>
      </c>
      <c r="BN9" s="508">
        <f>BM9/BB9</f>
        <v>1.045706627680312</v>
      </c>
      <c r="BO9" s="1095">
        <v>2370.4699999999998</v>
      </c>
      <c r="BP9" s="1223">
        <v>3268.37</v>
      </c>
      <c r="BQ9" s="1090"/>
      <c r="BR9" s="1090"/>
      <c r="BS9" s="1090"/>
      <c r="BU9" s="20"/>
      <c r="BV9" s="2"/>
      <c r="BW9" s="2"/>
      <c r="BX9" s="491"/>
      <c r="BY9" s="80"/>
      <c r="BZ9" s="492"/>
      <c r="CA9" s="319"/>
    </row>
    <row r="10" spans="1:79" ht="15.5" x14ac:dyDescent="0.35">
      <c r="A10" s="2" t="s">
        <v>752</v>
      </c>
      <c r="B10" s="9"/>
      <c r="C10" s="181"/>
      <c r="D10" s="177"/>
      <c r="E10" s="6"/>
      <c r="F10" s="178"/>
      <c r="G10" s="122"/>
      <c r="H10" s="105"/>
      <c r="I10" s="127"/>
      <c r="J10" s="96"/>
      <c r="K10" s="77"/>
      <c r="L10" s="1195"/>
      <c r="M10" s="86"/>
      <c r="N10" s="88"/>
      <c r="O10" s="92"/>
      <c r="P10" s="93"/>
      <c r="Q10" s="179"/>
      <c r="R10" s="179"/>
      <c r="S10" s="127"/>
      <c r="U10" s="113"/>
      <c r="V10" s="129"/>
      <c r="W10" s="117"/>
      <c r="X10" s="130"/>
      <c r="Y10" s="182"/>
      <c r="Z10" s="233"/>
      <c r="AA10" s="205"/>
      <c r="AB10" s="206"/>
      <c r="AC10" s="226"/>
      <c r="AD10" s="229"/>
      <c r="AE10" s="214"/>
      <c r="AF10" s="240"/>
      <c r="AG10" s="242"/>
      <c r="AH10" s="263"/>
      <c r="AI10" s="242"/>
      <c r="AJ10" s="266"/>
      <c r="AK10" s="216"/>
      <c r="AL10" s="256"/>
      <c r="AM10" s="268"/>
      <c r="AN10" s="271"/>
      <c r="AO10" s="279"/>
      <c r="AP10" s="304"/>
      <c r="AQ10" s="305"/>
      <c r="AR10" s="303"/>
      <c r="AS10" s="306"/>
      <c r="AT10" s="271"/>
      <c r="AU10" s="266"/>
      <c r="AV10" s="278"/>
      <c r="AW10" s="293"/>
      <c r="AX10" s="315"/>
      <c r="AY10" s="335"/>
      <c r="AZ10" s="335"/>
      <c r="BA10" s="315"/>
      <c r="BB10" s="340"/>
      <c r="BC10" s="435"/>
      <c r="BD10" s="440"/>
      <c r="BE10" s="446"/>
      <c r="BF10" s="417"/>
      <c r="BG10" s="428"/>
      <c r="BH10" s="476"/>
      <c r="BI10" s="476"/>
      <c r="BJ10" s="428"/>
      <c r="BK10" s="456"/>
      <c r="BM10" s="511"/>
      <c r="BN10" s="508"/>
      <c r="BO10" s="1095"/>
      <c r="BP10" s="1223">
        <v>312</v>
      </c>
      <c r="BQ10" s="1090"/>
      <c r="BR10" s="1090"/>
      <c r="BS10" s="1090"/>
      <c r="BU10" s="20"/>
      <c r="BV10" s="2"/>
      <c r="BW10" s="2"/>
      <c r="BX10" s="491"/>
      <c r="BY10" s="80"/>
      <c r="BZ10" s="492"/>
      <c r="CA10" s="319"/>
    </row>
    <row r="11" spans="1:79" ht="15.5" x14ac:dyDescent="0.35">
      <c r="A11" s="2" t="s">
        <v>781</v>
      </c>
      <c r="B11" s="9"/>
      <c r="C11" s="181"/>
      <c r="D11" s="177"/>
      <c r="E11" s="6"/>
      <c r="F11" s="178"/>
      <c r="G11" s="122"/>
      <c r="H11" s="105"/>
      <c r="I11" s="127"/>
      <c r="J11" s="96"/>
      <c r="K11" s="77"/>
      <c r="L11" s="1195"/>
      <c r="M11" s="86"/>
      <c r="N11" s="88"/>
      <c r="O11" s="92"/>
      <c r="P11" s="93"/>
      <c r="Q11" s="179"/>
      <c r="R11" s="179"/>
      <c r="S11" s="127"/>
      <c r="U11" s="113"/>
      <c r="V11" s="129"/>
      <c r="W11" s="117"/>
      <c r="X11" s="130"/>
      <c r="Y11" s="182"/>
      <c r="Z11" s="233"/>
      <c r="AA11" s="205"/>
      <c r="AB11" s="206"/>
      <c r="AC11" s="226"/>
      <c r="AD11" s="229"/>
      <c r="AE11" s="214"/>
      <c r="AF11" s="240"/>
      <c r="AG11" s="242"/>
      <c r="AH11" s="263"/>
      <c r="AI11" s="242"/>
      <c r="AJ11" s="266"/>
      <c r="AK11" s="216"/>
      <c r="AL11" s="256"/>
      <c r="AM11" s="268"/>
      <c r="AN11" s="271"/>
      <c r="AO11" s="279"/>
      <c r="AP11" s="304"/>
      <c r="AQ11" s="305"/>
      <c r="AR11" s="303"/>
      <c r="AS11" s="306"/>
      <c r="AT11" s="271"/>
      <c r="AU11" s="266"/>
      <c r="AV11" s="278"/>
      <c r="AW11" s="293"/>
      <c r="AX11" s="315"/>
      <c r="AY11" s="335"/>
      <c r="AZ11" s="335"/>
      <c r="BA11" s="315"/>
      <c r="BB11" s="340"/>
      <c r="BC11" s="435"/>
      <c r="BD11" s="440"/>
      <c r="BE11" s="446"/>
      <c r="BF11" s="417"/>
      <c r="BG11" s="428"/>
      <c r="BH11" s="476"/>
      <c r="BI11" s="476"/>
      <c r="BJ11" s="428"/>
      <c r="BK11" s="456"/>
      <c r="BM11" s="511"/>
      <c r="BN11" s="508"/>
      <c r="BO11" s="1095"/>
      <c r="BP11" s="1223">
        <v>450</v>
      </c>
      <c r="BQ11" s="1090"/>
      <c r="BR11" s="1090"/>
      <c r="BS11" s="1090"/>
      <c r="BU11" s="20"/>
      <c r="BV11" s="2"/>
      <c r="BW11" s="2"/>
      <c r="BX11" s="491"/>
      <c r="BY11" s="80"/>
      <c r="BZ11" s="492"/>
      <c r="CA11" s="319"/>
    </row>
    <row r="12" spans="1:79" ht="15.5" x14ac:dyDescent="0.35">
      <c r="A12" s="2" t="s">
        <v>352</v>
      </c>
      <c r="B12" s="9"/>
      <c r="C12" s="181"/>
      <c r="D12" s="177"/>
      <c r="E12" s="6"/>
      <c r="F12" s="178"/>
      <c r="G12" s="122"/>
      <c r="H12" s="105"/>
      <c r="I12" s="127"/>
      <c r="J12" s="96"/>
      <c r="K12" s="77"/>
      <c r="L12" s="1195"/>
      <c r="M12" s="86"/>
      <c r="N12" s="88"/>
      <c r="O12" s="92"/>
      <c r="P12" s="93"/>
      <c r="Q12" s="179"/>
      <c r="R12" s="179"/>
      <c r="S12" s="127"/>
      <c r="U12" s="113"/>
      <c r="V12" s="129"/>
      <c r="W12" s="117"/>
      <c r="X12" s="130"/>
      <c r="Y12" s="182"/>
      <c r="Z12" s="233"/>
      <c r="AA12" s="205"/>
      <c r="AB12" s="206"/>
      <c r="AC12" s="226"/>
      <c r="AD12" s="229"/>
      <c r="AE12" s="214"/>
      <c r="AF12" s="240"/>
      <c r="AG12" s="242"/>
      <c r="AH12" s="263"/>
      <c r="AI12" s="242"/>
      <c r="AJ12" s="266"/>
      <c r="AK12" s="216"/>
      <c r="AL12" s="256"/>
      <c r="AM12" s="268"/>
      <c r="AN12" s="271"/>
      <c r="AO12" s="279"/>
      <c r="AP12" s="304"/>
      <c r="AQ12" s="305"/>
      <c r="AR12" s="303"/>
      <c r="AS12" s="306"/>
      <c r="AT12" s="271"/>
      <c r="AU12" s="266"/>
      <c r="AV12" s="278"/>
      <c r="AW12" s="293"/>
      <c r="AX12" s="315"/>
      <c r="AY12" s="335"/>
      <c r="AZ12" s="335"/>
      <c r="BA12" s="315"/>
      <c r="BB12" s="340"/>
      <c r="BC12" s="435"/>
      <c r="BD12" s="440"/>
      <c r="BE12" s="446"/>
      <c r="BF12" s="417"/>
      <c r="BG12" s="428"/>
      <c r="BH12" s="476"/>
      <c r="BI12" s="476"/>
      <c r="BJ12" s="428"/>
      <c r="BK12" s="456"/>
      <c r="BM12" s="511"/>
      <c r="BN12" s="508"/>
      <c r="BO12" s="1095"/>
      <c r="BP12" s="1223">
        <v>56.18</v>
      </c>
      <c r="BQ12" s="1090"/>
      <c r="BR12" s="1090"/>
      <c r="BS12" s="1090"/>
      <c r="BU12" s="20"/>
      <c r="BV12" s="2"/>
      <c r="BW12" s="2"/>
      <c r="BX12" s="491"/>
      <c r="BY12" s="80"/>
      <c r="BZ12" s="492"/>
      <c r="CA12" s="319"/>
    </row>
    <row r="13" spans="1:79" ht="43" x14ac:dyDescent="0.35">
      <c r="A13" s="2" t="s">
        <v>782</v>
      </c>
      <c r="B13" s="9">
        <v>500</v>
      </c>
      <c r="C13" s="181">
        <v>102.14</v>
      </c>
      <c r="D13" s="177">
        <f t="shared" ref="D13:D45" si="3">C13/B13</f>
        <v>0.20427999999999999</v>
      </c>
      <c r="E13" s="6">
        <v>314.33999999999997</v>
      </c>
      <c r="F13" s="178">
        <f t="shared" ref="F13:F45" si="4">E13/B13</f>
        <v>0.62867999999999991</v>
      </c>
      <c r="G13" s="123">
        <f>E13/10*12</f>
        <v>377.20799999999997</v>
      </c>
      <c r="H13" s="106">
        <v>609.78</v>
      </c>
      <c r="I13" s="127">
        <v>500</v>
      </c>
      <c r="J13" s="96">
        <f>695.68+23</f>
        <v>718.68</v>
      </c>
      <c r="K13" s="77">
        <f t="shared" ref="K13:K42" si="5">J13/I13</f>
        <v>1.43736</v>
      </c>
      <c r="L13" s="1195">
        <v>500</v>
      </c>
      <c r="M13" s="86">
        <v>390.47</v>
      </c>
      <c r="N13" s="88">
        <f t="shared" si="0"/>
        <v>0.78094000000000008</v>
      </c>
      <c r="O13" s="92">
        <v>203.61</v>
      </c>
      <c r="P13" s="93">
        <f>O13/L13</f>
        <v>0.40722000000000003</v>
      </c>
      <c r="Q13" s="179"/>
      <c r="R13" s="179"/>
      <c r="S13" s="127"/>
      <c r="U13" s="113">
        <v>307.14999999999998</v>
      </c>
      <c r="V13" s="129">
        <f t="shared" ref="V13:V51" si="6">U13/L13</f>
        <v>0.61429999999999996</v>
      </c>
      <c r="W13" s="117">
        <v>475.15</v>
      </c>
      <c r="X13" s="130">
        <f t="shared" ref="X13:X51" si="7">W13/L13</f>
        <v>0.95029999999999992</v>
      </c>
      <c r="Y13" s="182">
        <v>180</v>
      </c>
      <c r="Z13" s="233">
        <v>525</v>
      </c>
      <c r="AA13" s="205">
        <v>99.61</v>
      </c>
      <c r="AB13" s="206">
        <f t="shared" ref="AB13:AB53" si="8">AA13/Z13</f>
        <v>0.18973333333333334</v>
      </c>
      <c r="AC13" s="226">
        <v>315.74</v>
      </c>
      <c r="AD13" s="229">
        <f t="shared" ref="AD13:AD53" si="9">AC13/Z13</f>
        <v>0.60140952380952384</v>
      </c>
      <c r="AE13" s="214">
        <v>210</v>
      </c>
      <c r="AF13" s="240">
        <f t="shared" ref="AF13:AF56" si="10">AE13+AC13</f>
        <v>525.74</v>
      </c>
      <c r="AG13" s="242">
        <f t="shared" ref="AG13:AG56" si="11">AF13/Z13</f>
        <v>1.0014095238095237</v>
      </c>
      <c r="AH13" s="263">
        <v>587.17999999999995</v>
      </c>
      <c r="AI13" s="242">
        <f t="shared" ref="AI13:AI53" si="12">AH13/Z13</f>
        <v>1.1184380952380952</v>
      </c>
      <c r="AJ13" s="266">
        <v>600</v>
      </c>
      <c r="AK13" s="216" t="s">
        <v>144</v>
      </c>
      <c r="AL13" s="246"/>
      <c r="AM13" s="268"/>
      <c r="AN13" s="271">
        <v>574.29</v>
      </c>
      <c r="AO13" s="279">
        <f>913.63-309.35</f>
        <v>604.28</v>
      </c>
      <c r="AP13" s="304">
        <v>577.44000000000005</v>
      </c>
      <c r="AQ13" s="305">
        <v>200</v>
      </c>
      <c r="AR13" s="303">
        <f t="shared" ref="AR13:AR53" si="13">AO13+AQ13</f>
        <v>804.28</v>
      </c>
      <c r="AS13" s="306">
        <f t="shared" ref="AS13:AS56" si="14">AP13/AJ13</f>
        <v>0.96240000000000014</v>
      </c>
      <c r="AT13" s="271"/>
      <c r="AU13" s="266">
        <v>800</v>
      </c>
      <c r="AV13" s="278" t="s">
        <v>222</v>
      </c>
      <c r="AW13" s="293">
        <v>1037.6300000000001</v>
      </c>
      <c r="AX13" s="315">
        <f>AW13/AU13</f>
        <v>1.2970375000000001</v>
      </c>
      <c r="AY13" s="335">
        <v>121.17</v>
      </c>
      <c r="AZ13" s="335">
        <f t="shared" ref="AZ13:AZ54" si="15">AW13+AY13</f>
        <v>1158.8000000000002</v>
      </c>
      <c r="BA13" s="315">
        <f t="shared" ref="BA13:BA52" si="16">AZ13/AU13</f>
        <v>1.4485000000000001</v>
      </c>
      <c r="BB13" s="340">
        <v>800</v>
      </c>
      <c r="BC13" s="434" t="s">
        <v>250</v>
      </c>
      <c r="BD13" s="440">
        <v>487.7</v>
      </c>
      <c r="BE13" s="446">
        <v>0.61</v>
      </c>
      <c r="BF13" s="417" t="e">
        <f>'Natwest Expenses'!V132-'Natwest Expenses'!#REF!</f>
        <v>#REF!</v>
      </c>
      <c r="BG13" s="428" t="e">
        <f>BF13/BB13</f>
        <v>#REF!</v>
      </c>
      <c r="BH13" s="476">
        <f>BD13/9*3</f>
        <v>162.56666666666666</v>
      </c>
      <c r="BI13" s="476">
        <f t="shared" si="1"/>
        <v>650.26666666666665</v>
      </c>
      <c r="BJ13" s="428">
        <f t="shared" si="2"/>
        <v>0.8128333333333333</v>
      </c>
      <c r="BK13" s="456">
        <v>600</v>
      </c>
      <c r="BL13" s="460" t="s">
        <v>309</v>
      </c>
      <c r="BM13" s="509">
        <f>859-120.71</f>
        <v>738.29</v>
      </c>
      <c r="BN13" s="510">
        <f t="shared" ref="BN13:BN56" si="17">BM13/BB13</f>
        <v>0.92286249999999992</v>
      </c>
      <c r="BO13" s="1095">
        <v>600</v>
      </c>
      <c r="BP13" s="1223">
        <v>301.52999999999997</v>
      </c>
      <c r="BQ13" s="1090"/>
      <c r="BR13" s="1090"/>
      <c r="BS13" s="1090"/>
      <c r="BU13" s="20" t="s">
        <v>49</v>
      </c>
      <c r="BV13" s="2"/>
      <c r="BW13" s="2"/>
      <c r="BX13" s="473"/>
      <c r="BY13" s="260"/>
      <c r="BZ13" s="492"/>
      <c r="CA13" s="319"/>
    </row>
    <row r="14" spans="1:79" ht="15.5" x14ac:dyDescent="0.35">
      <c r="A14" s="2" t="s">
        <v>267</v>
      </c>
      <c r="B14" s="9"/>
      <c r="C14" s="181"/>
      <c r="D14" s="177"/>
      <c r="E14" s="6"/>
      <c r="F14" s="178"/>
      <c r="G14" s="123"/>
      <c r="H14" s="106"/>
      <c r="I14" s="127"/>
      <c r="J14" s="96"/>
      <c r="K14" s="77"/>
      <c r="L14" s="1195"/>
      <c r="M14" s="86"/>
      <c r="N14" s="88"/>
      <c r="O14" s="92"/>
      <c r="P14" s="93"/>
      <c r="Q14" s="179"/>
      <c r="R14" s="179"/>
      <c r="S14" s="127"/>
      <c r="U14" s="113"/>
      <c r="V14" s="129"/>
      <c r="W14" s="117"/>
      <c r="X14" s="130"/>
      <c r="Y14" s="182"/>
      <c r="Z14" s="233"/>
      <c r="AA14" s="205"/>
      <c r="AB14" s="206"/>
      <c r="AC14" s="226"/>
      <c r="AD14" s="229"/>
      <c r="AE14" s="214"/>
      <c r="AF14" s="240"/>
      <c r="AG14" s="242"/>
      <c r="AH14" s="263"/>
      <c r="AI14" s="242"/>
      <c r="AJ14" s="266"/>
      <c r="AK14" s="216"/>
      <c r="AL14" s="246"/>
      <c r="AM14" s="268"/>
      <c r="AN14" s="271"/>
      <c r="AO14" s="279"/>
      <c r="AP14" s="304"/>
      <c r="AQ14" s="305"/>
      <c r="AR14" s="303"/>
      <c r="AS14" s="306"/>
      <c r="AT14" s="271"/>
      <c r="AU14" s="266"/>
      <c r="AV14" s="278"/>
      <c r="AW14" s="293">
        <v>573.94000000000005</v>
      </c>
      <c r="AX14" s="315"/>
      <c r="AY14" s="335"/>
      <c r="AZ14" s="335"/>
      <c r="BA14" s="315"/>
      <c r="BB14" s="340"/>
      <c r="BC14" s="434"/>
      <c r="BD14" s="440">
        <v>2965.2</v>
      </c>
      <c r="BE14" s="446"/>
      <c r="BF14" s="417" t="e">
        <f>'Natwest Expenses'!AQ132-'Natwest Expenses'!#REF!</f>
        <v>#REF!</v>
      </c>
      <c r="BG14" s="428"/>
      <c r="BH14" s="476">
        <v>0</v>
      </c>
      <c r="BI14" s="476">
        <f t="shared" si="1"/>
        <v>2965.2</v>
      </c>
      <c r="BJ14" s="428"/>
      <c r="BK14" s="456">
        <v>0</v>
      </c>
      <c r="BM14" s="511">
        <v>2965.2</v>
      </c>
      <c r="BN14" s="508"/>
      <c r="BO14" s="1095"/>
      <c r="BP14" s="1223">
        <v>0</v>
      </c>
      <c r="BQ14" s="1090"/>
      <c r="BR14" s="1090"/>
      <c r="BS14" s="1090"/>
      <c r="BU14" s="20" t="s">
        <v>316</v>
      </c>
      <c r="BV14" s="2"/>
      <c r="BW14" s="2"/>
      <c r="BX14" s="473">
        <v>0</v>
      </c>
      <c r="BY14" s="260"/>
      <c r="BZ14" s="492"/>
      <c r="CA14" s="319"/>
    </row>
    <row r="15" spans="1:79" ht="15.5" x14ac:dyDescent="0.35">
      <c r="A15" s="2" t="s">
        <v>11</v>
      </c>
      <c r="B15" s="9"/>
      <c r="C15" s="181"/>
      <c r="D15" s="177"/>
      <c r="E15" s="6"/>
      <c r="F15" s="178"/>
      <c r="G15" s="123">
        <v>0</v>
      </c>
      <c r="H15" s="106"/>
      <c r="I15" s="127">
        <v>50</v>
      </c>
      <c r="J15" s="96"/>
      <c r="K15" s="77"/>
      <c r="L15" s="1195">
        <v>50</v>
      </c>
      <c r="M15" s="86">
        <v>39.83</v>
      </c>
      <c r="N15" s="88">
        <f t="shared" si="0"/>
        <v>0.79659999999999997</v>
      </c>
      <c r="O15" s="92">
        <v>39.83</v>
      </c>
      <c r="P15" s="93">
        <f t="shared" ref="P15:P51" si="18">O15/L15</f>
        <v>0.79659999999999997</v>
      </c>
      <c r="Q15" s="179"/>
      <c r="R15" s="179" t="s">
        <v>105</v>
      </c>
      <c r="S15" s="127"/>
      <c r="U15" s="113">
        <v>39.83</v>
      </c>
      <c r="V15" s="129">
        <f t="shared" si="6"/>
        <v>0.79659999999999997</v>
      </c>
      <c r="W15" s="117">
        <v>39.83</v>
      </c>
      <c r="X15" s="130">
        <f t="shared" si="7"/>
        <v>0.79659999999999997</v>
      </c>
      <c r="Y15" s="182"/>
      <c r="Z15" s="233">
        <v>52.5</v>
      </c>
      <c r="AA15" s="205">
        <v>24.99</v>
      </c>
      <c r="AB15" s="206">
        <f t="shared" si="8"/>
        <v>0.47599999999999998</v>
      </c>
      <c r="AC15" s="226">
        <v>24.99</v>
      </c>
      <c r="AD15" s="229">
        <f t="shared" si="9"/>
        <v>0.47599999999999998</v>
      </c>
      <c r="AE15" s="214">
        <v>0</v>
      </c>
      <c r="AF15" s="240">
        <f t="shared" si="10"/>
        <v>24.99</v>
      </c>
      <c r="AG15" s="242">
        <f t="shared" si="11"/>
        <v>0.47599999999999998</v>
      </c>
      <c r="AH15" s="263">
        <v>24.99</v>
      </c>
      <c r="AI15" s="242">
        <f t="shared" si="12"/>
        <v>0.47599999999999998</v>
      </c>
      <c r="AJ15" s="266">
        <v>150</v>
      </c>
      <c r="AK15" s="216"/>
      <c r="AL15" s="246"/>
      <c r="AM15" s="268"/>
      <c r="AN15" s="271"/>
      <c r="AO15" s="279"/>
      <c r="AP15" s="304"/>
      <c r="AQ15" s="305"/>
      <c r="AR15" s="303">
        <f t="shared" si="13"/>
        <v>0</v>
      </c>
      <c r="AS15" s="306">
        <f t="shared" si="14"/>
        <v>0</v>
      </c>
      <c r="AT15" s="271"/>
      <c r="AU15" s="266">
        <v>150</v>
      </c>
      <c r="AV15" s="278"/>
      <c r="AW15" s="293">
        <v>274.99</v>
      </c>
      <c r="AX15" s="315">
        <f>AW15/AU15</f>
        <v>1.8332666666666668</v>
      </c>
      <c r="AY15" s="335">
        <v>0</v>
      </c>
      <c r="AZ15" s="335">
        <f t="shared" si="15"/>
        <v>274.99</v>
      </c>
      <c r="BA15" s="315">
        <f t="shared" si="16"/>
        <v>1.8332666666666668</v>
      </c>
      <c r="BB15" s="340">
        <v>150</v>
      </c>
      <c r="BC15" s="436" t="s">
        <v>231</v>
      </c>
      <c r="BD15" s="441">
        <v>0</v>
      </c>
      <c r="BE15" s="447">
        <v>0</v>
      </c>
      <c r="BF15" s="418">
        <f>'Natwest Expenses'!W132</f>
        <v>978.1099999999999</v>
      </c>
      <c r="BG15" s="428">
        <f>BF15/BB15</f>
        <v>6.5207333333333324</v>
      </c>
      <c r="BH15" s="476">
        <v>0</v>
      </c>
      <c r="BI15" s="476">
        <f t="shared" si="1"/>
        <v>0</v>
      </c>
      <c r="BJ15" s="428">
        <f t="shared" si="2"/>
        <v>0</v>
      </c>
      <c r="BK15" s="456">
        <v>250</v>
      </c>
      <c r="BL15" s="310" t="s">
        <v>326</v>
      </c>
      <c r="BM15" s="511">
        <v>0</v>
      </c>
      <c r="BN15" s="510">
        <f t="shared" si="17"/>
        <v>0</v>
      </c>
      <c r="BO15" s="1095">
        <v>250</v>
      </c>
      <c r="BP15" s="1223">
        <v>0</v>
      </c>
      <c r="BQ15" s="1090"/>
      <c r="BR15" s="1090"/>
      <c r="BS15" s="1090"/>
      <c r="BU15" s="20" t="s">
        <v>317</v>
      </c>
      <c r="BV15" s="2"/>
      <c r="BW15" s="219"/>
      <c r="BX15" s="494">
        <v>0</v>
      </c>
      <c r="BY15" s="474"/>
      <c r="BZ15" s="492"/>
      <c r="CA15" s="319"/>
    </row>
    <row r="16" spans="1:79" ht="15.5" x14ac:dyDescent="0.35">
      <c r="A16" s="2" t="s">
        <v>12</v>
      </c>
      <c r="B16" s="9">
        <v>500</v>
      </c>
      <c r="C16" s="181"/>
      <c r="D16" s="177">
        <f t="shared" si="3"/>
        <v>0</v>
      </c>
      <c r="E16" s="6"/>
      <c r="F16" s="178">
        <f t="shared" si="4"/>
        <v>0</v>
      </c>
      <c r="G16" s="123">
        <v>0</v>
      </c>
      <c r="H16" s="106"/>
      <c r="I16" s="127">
        <v>500</v>
      </c>
      <c r="J16" s="96"/>
      <c r="K16" s="77">
        <f t="shared" si="5"/>
        <v>0</v>
      </c>
      <c r="L16" s="1195">
        <v>500</v>
      </c>
      <c r="M16" s="86"/>
      <c r="N16" s="88">
        <f t="shared" si="0"/>
        <v>0</v>
      </c>
      <c r="O16" s="92">
        <v>182.5</v>
      </c>
      <c r="P16" s="93">
        <f t="shared" si="18"/>
        <v>0.36499999999999999</v>
      </c>
      <c r="Q16" s="179"/>
      <c r="R16" s="179"/>
      <c r="S16" s="127"/>
      <c r="U16" s="113">
        <v>182.5</v>
      </c>
      <c r="V16" s="129">
        <f t="shared" si="6"/>
        <v>0.36499999999999999</v>
      </c>
      <c r="W16" s="117">
        <v>182.5</v>
      </c>
      <c r="X16" s="130">
        <f t="shared" si="7"/>
        <v>0.36499999999999999</v>
      </c>
      <c r="Y16" s="182">
        <v>175</v>
      </c>
      <c r="Z16" s="233">
        <v>500</v>
      </c>
      <c r="AA16" s="205">
        <v>0</v>
      </c>
      <c r="AB16" s="206">
        <f t="shared" si="8"/>
        <v>0</v>
      </c>
      <c r="AC16" s="226">
        <v>137.5</v>
      </c>
      <c r="AD16" s="229">
        <f t="shared" si="9"/>
        <v>0.27500000000000002</v>
      </c>
      <c r="AE16" s="214">
        <v>100</v>
      </c>
      <c r="AF16" s="240">
        <f t="shared" si="10"/>
        <v>237.5</v>
      </c>
      <c r="AG16" s="242">
        <f t="shared" si="11"/>
        <v>0.47499999999999998</v>
      </c>
      <c r="AH16" s="263">
        <v>137.5</v>
      </c>
      <c r="AI16" s="242">
        <f t="shared" si="12"/>
        <v>0.27500000000000002</v>
      </c>
      <c r="AJ16" s="266">
        <v>500</v>
      </c>
      <c r="AK16" s="216"/>
      <c r="AL16" s="246"/>
      <c r="AM16" s="268"/>
      <c r="AN16" s="271"/>
      <c r="AO16" s="279">
        <v>60</v>
      </c>
      <c r="AP16" s="304">
        <v>60</v>
      </c>
      <c r="AQ16" s="305">
        <v>100</v>
      </c>
      <c r="AR16" s="303">
        <f t="shared" si="13"/>
        <v>160</v>
      </c>
      <c r="AS16" s="306">
        <f t="shared" si="14"/>
        <v>0.12</v>
      </c>
      <c r="AT16" s="271"/>
      <c r="AU16" s="266">
        <v>500</v>
      </c>
      <c r="AV16" s="278"/>
      <c r="AW16" s="293">
        <v>0</v>
      </c>
      <c r="AX16" s="315">
        <f>AW16/AU16</f>
        <v>0</v>
      </c>
      <c r="AY16" s="335">
        <v>125</v>
      </c>
      <c r="AZ16" s="335">
        <f t="shared" si="15"/>
        <v>125</v>
      </c>
      <c r="BA16" s="315">
        <f t="shared" si="16"/>
        <v>0.25</v>
      </c>
      <c r="BB16" s="340">
        <v>500</v>
      </c>
      <c r="BC16" s="434"/>
      <c r="BD16" s="440"/>
      <c r="BE16" s="446">
        <v>0</v>
      </c>
      <c r="BF16" s="417"/>
      <c r="BG16" s="428">
        <f>BF16/BB16</f>
        <v>0</v>
      </c>
      <c r="BH16" s="476">
        <v>0</v>
      </c>
      <c r="BI16" s="476">
        <f t="shared" si="1"/>
        <v>0</v>
      </c>
      <c r="BJ16" s="428">
        <f t="shared" si="2"/>
        <v>0</v>
      </c>
      <c r="BK16" s="456">
        <v>500</v>
      </c>
      <c r="BM16" s="511">
        <v>20</v>
      </c>
      <c r="BN16" s="508">
        <f t="shared" si="17"/>
        <v>0.04</v>
      </c>
      <c r="BO16" s="1095">
        <v>500</v>
      </c>
      <c r="BP16" s="1223">
        <v>169.5</v>
      </c>
      <c r="BQ16" s="1090"/>
      <c r="BR16" s="1090"/>
      <c r="BS16" s="1090"/>
      <c r="BU16" s="20"/>
      <c r="BV16" s="2"/>
      <c r="BW16" s="4"/>
      <c r="BX16" s="474"/>
      <c r="BY16" s="475">
        <f>SUM(BX13:BX15)</f>
        <v>0</v>
      </c>
      <c r="BZ16" s="492"/>
      <c r="CA16" s="319"/>
    </row>
    <row r="17" spans="1:79" ht="15.75" customHeight="1" x14ac:dyDescent="0.35">
      <c r="A17" s="341" t="s">
        <v>13</v>
      </c>
      <c r="B17" s="342">
        <v>1500</v>
      </c>
      <c r="C17" s="343">
        <v>230</v>
      </c>
      <c r="D17" s="344">
        <f t="shared" si="3"/>
        <v>0.15333333333333332</v>
      </c>
      <c r="E17" s="345">
        <v>1184.5</v>
      </c>
      <c r="F17" s="346">
        <f t="shared" si="4"/>
        <v>0.78966666666666663</v>
      </c>
      <c r="G17" s="347">
        <f>(E17-470)/10*12</f>
        <v>857.40000000000009</v>
      </c>
      <c r="H17" s="348">
        <v>1269.5</v>
      </c>
      <c r="I17" s="349">
        <v>1000</v>
      </c>
      <c r="J17" s="350">
        <v>1380</v>
      </c>
      <c r="K17" s="351">
        <f t="shared" si="5"/>
        <v>1.38</v>
      </c>
      <c r="L17" s="1195">
        <v>1000</v>
      </c>
      <c r="M17" s="352">
        <v>102</v>
      </c>
      <c r="N17" s="353">
        <f t="shared" si="0"/>
        <v>0.10199999999999999</v>
      </c>
      <c r="O17" s="354">
        <v>323</v>
      </c>
      <c r="P17" s="355">
        <f t="shared" si="18"/>
        <v>0.32300000000000001</v>
      </c>
      <c r="Q17" s="356"/>
      <c r="R17" s="356"/>
      <c r="S17" s="357" t="s">
        <v>14</v>
      </c>
      <c r="T17" s="357"/>
      <c r="U17" s="358">
        <v>527</v>
      </c>
      <c r="V17" s="359">
        <f t="shared" si="6"/>
        <v>0.52700000000000002</v>
      </c>
      <c r="W17" s="360">
        <v>680</v>
      </c>
      <c r="X17" s="361">
        <f t="shared" si="7"/>
        <v>0.68</v>
      </c>
      <c r="Y17" s="362">
        <v>204</v>
      </c>
      <c r="Z17" s="363">
        <v>850</v>
      </c>
      <c r="AA17" s="364">
        <v>177</v>
      </c>
      <c r="AB17" s="365">
        <f t="shared" si="8"/>
        <v>0.20823529411764705</v>
      </c>
      <c r="AC17" s="366">
        <v>470</v>
      </c>
      <c r="AD17" s="367">
        <f t="shared" si="9"/>
        <v>0.55294117647058827</v>
      </c>
      <c r="AE17" s="368">
        <v>415</v>
      </c>
      <c r="AF17" s="369">
        <f t="shared" si="10"/>
        <v>885</v>
      </c>
      <c r="AG17" s="370">
        <f t="shared" si="11"/>
        <v>1.0411764705882354</v>
      </c>
      <c r="AH17" s="371">
        <v>858.5</v>
      </c>
      <c r="AI17" s="370">
        <f t="shared" si="12"/>
        <v>1.01</v>
      </c>
      <c r="AJ17" s="372"/>
      <c r="AK17" s="373" t="s">
        <v>145</v>
      </c>
      <c r="AL17" s="374">
        <v>1050</v>
      </c>
      <c r="AM17" s="375">
        <v>885</v>
      </c>
      <c r="AN17" s="376"/>
      <c r="AO17" s="377">
        <v>0</v>
      </c>
      <c r="AP17" s="378"/>
      <c r="AQ17" s="379"/>
      <c r="AR17" s="380">
        <f t="shared" si="13"/>
        <v>0</v>
      </c>
      <c r="AS17" s="381"/>
      <c r="AT17" s="376"/>
      <c r="AU17" s="266"/>
      <c r="AV17" s="382" t="s">
        <v>210</v>
      </c>
      <c r="AW17" s="383"/>
      <c r="AX17" s="384"/>
      <c r="AY17" s="385"/>
      <c r="AZ17" s="385">
        <f t="shared" si="15"/>
        <v>0</v>
      </c>
      <c r="BA17" s="384"/>
      <c r="BB17" s="386">
        <v>0</v>
      </c>
      <c r="BC17" s="466"/>
      <c r="BD17" s="467"/>
      <c r="BE17" s="468"/>
      <c r="BF17" s="469"/>
      <c r="BG17" s="470"/>
      <c r="BH17" s="477"/>
      <c r="BI17" s="477">
        <f t="shared" si="1"/>
        <v>0</v>
      </c>
      <c r="BJ17" s="470"/>
      <c r="BK17" s="471">
        <v>0</v>
      </c>
      <c r="BL17" s="472"/>
      <c r="BM17" s="512"/>
      <c r="BN17" s="512"/>
      <c r="BO17" s="1226"/>
      <c r="BP17" s="1227"/>
      <c r="BQ17" s="1090"/>
      <c r="BR17" s="1090"/>
      <c r="BS17" s="1090"/>
      <c r="BU17" s="20" t="s">
        <v>199</v>
      </c>
      <c r="BV17" s="2"/>
      <c r="BW17" s="2"/>
      <c r="BX17" s="485"/>
      <c r="BY17" s="260"/>
      <c r="BZ17" s="495">
        <f>SUM(BY8:BY16)</f>
        <v>94593.75</v>
      </c>
    </row>
    <row r="18" spans="1:79" ht="43" x14ac:dyDescent="0.35">
      <c r="A18" s="2" t="s">
        <v>15</v>
      </c>
      <c r="B18" s="9">
        <v>1343.12</v>
      </c>
      <c r="C18" s="181"/>
      <c r="D18" s="177">
        <f t="shared" si="3"/>
        <v>0</v>
      </c>
      <c r="E18" s="6">
        <v>0</v>
      </c>
      <c r="F18" s="178">
        <f t="shared" si="4"/>
        <v>0</v>
      </c>
      <c r="G18" s="123">
        <v>1413.13</v>
      </c>
      <c r="H18" s="106">
        <v>1413.13</v>
      </c>
      <c r="I18" s="128">
        <v>1413.13</v>
      </c>
      <c r="J18" s="96">
        <v>1413.12</v>
      </c>
      <c r="K18" s="77">
        <f t="shared" si="5"/>
        <v>0.99999292351022184</v>
      </c>
      <c r="L18" s="1196">
        <v>1413.12</v>
      </c>
      <c r="M18" s="86"/>
      <c r="N18" s="88">
        <f t="shared" si="0"/>
        <v>0</v>
      </c>
      <c r="O18" s="92">
        <v>0</v>
      </c>
      <c r="P18" s="93">
        <f t="shared" si="18"/>
        <v>0</v>
      </c>
      <c r="Q18" s="179"/>
      <c r="R18" s="179"/>
      <c r="S18" s="128" t="s">
        <v>16</v>
      </c>
      <c r="U18" s="113"/>
      <c r="V18" s="129">
        <f t="shared" si="6"/>
        <v>0</v>
      </c>
      <c r="W18" s="117">
        <v>1469.66</v>
      </c>
      <c r="X18" s="130">
        <f t="shared" si="7"/>
        <v>1.0400107563405798</v>
      </c>
      <c r="Y18" s="182">
        <v>1500</v>
      </c>
      <c r="Z18" s="233">
        <v>1500</v>
      </c>
      <c r="AA18" s="205"/>
      <c r="AB18" s="206">
        <f t="shared" si="8"/>
        <v>0</v>
      </c>
      <c r="AC18" s="226"/>
      <c r="AD18" s="229">
        <f t="shared" si="9"/>
        <v>0</v>
      </c>
      <c r="AE18" s="214">
        <v>1500</v>
      </c>
      <c r="AF18" s="240">
        <f t="shared" si="10"/>
        <v>1500</v>
      </c>
      <c r="AG18" s="242">
        <f t="shared" si="11"/>
        <v>1</v>
      </c>
      <c r="AH18" s="263">
        <v>533.49</v>
      </c>
      <c r="AI18" s="242">
        <f t="shared" si="12"/>
        <v>0.35566000000000003</v>
      </c>
      <c r="AJ18" s="266">
        <v>1500</v>
      </c>
      <c r="AK18" s="216" t="s">
        <v>139</v>
      </c>
      <c r="AL18" s="256">
        <v>900</v>
      </c>
      <c r="AM18" s="268"/>
      <c r="AN18" s="271"/>
      <c r="AO18" s="279">
        <v>0</v>
      </c>
      <c r="AP18" s="304">
        <v>319.02999999999997</v>
      </c>
      <c r="AQ18" s="305">
        <v>600</v>
      </c>
      <c r="AR18" s="303">
        <f t="shared" si="13"/>
        <v>600</v>
      </c>
      <c r="AS18" s="306">
        <f t="shared" si="14"/>
        <v>0.21268666666666664</v>
      </c>
      <c r="AT18" s="271" t="s">
        <v>191</v>
      </c>
      <c r="AU18" s="266">
        <v>650</v>
      </c>
      <c r="AV18" s="278">
        <v>650</v>
      </c>
      <c r="AW18" s="294">
        <v>281.58999999999997</v>
      </c>
      <c r="AX18" s="315">
        <f>AW18/AU18</f>
        <v>0.43321538461538456</v>
      </c>
      <c r="AY18" s="335">
        <v>350</v>
      </c>
      <c r="AZ18" s="335">
        <f t="shared" si="15"/>
        <v>631.58999999999992</v>
      </c>
      <c r="BA18" s="315">
        <f t="shared" si="16"/>
        <v>0.97167692307692299</v>
      </c>
      <c r="BB18" s="481">
        <v>440</v>
      </c>
      <c r="BC18" s="434" t="s">
        <v>260</v>
      </c>
      <c r="BD18" s="440">
        <v>0</v>
      </c>
      <c r="BE18" s="482">
        <v>0</v>
      </c>
      <c r="BF18" s="417">
        <f>'Natwest Expenses'!AA132</f>
        <v>398.77</v>
      </c>
      <c r="BG18" s="428">
        <f>BF18/BB18</f>
        <v>0.90629545454545446</v>
      </c>
      <c r="BH18" s="476">
        <v>286.14999999999998</v>
      </c>
      <c r="BI18" s="476">
        <f t="shared" si="1"/>
        <v>286.14999999999998</v>
      </c>
      <c r="BJ18" s="428">
        <f t="shared" si="2"/>
        <v>0.65034090909090903</v>
      </c>
      <c r="BK18" s="456">
        <v>325</v>
      </c>
      <c r="BL18" s="465" t="s">
        <v>325</v>
      </c>
      <c r="BM18" s="509">
        <v>254.63</v>
      </c>
      <c r="BN18" s="508">
        <f t="shared" si="17"/>
        <v>0.57870454545454542</v>
      </c>
      <c r="BO18" s="1095">
        <v>325</v>
      </c>
      <c r="BP18" s="1223">
        <v>273.83999999999997</v>
      </c>
      <c r="BQ18" s="1090"/>
      <c r="BR18" s="1090"/>
      <c r="BS18" s="1090"/>
      <c r="BU18" s="20" t="s">
        <v>50</v>
      </c>
      <c r="BV18" s="2"/>
      <c r="BW18" s="2"/>
      <c r="BX18" s="485"/>
      <c r="BY18" s="474"/>
      <c r="BZ18" s="496">
        <f>BZ19-BZ3-BZ17</f>
        <v>27577.087599999999</v>
      </c>
    </row>
    <row r="19" spans="1:79" ht="22.5" thickBot="1" x14ac:dyDescent="0.4">
      <c r="A19" s="2" t="s">
        <v>17</v>
      </c>
      <c r="B19" s="9"/>
      <c r="C19" s="181"/>
      <c r="D19" s="177"/>
      <c r="E19" s="6">
        <v>0</v>
      </c>
      <c r="F19" s="178"/>
      <c r="G19" s="123">
        <v>0</v>
      </c>
      <c r="H19" s="106">
        <v>148.19</v>
      </c>
      <c r="I19" s="127">
        <v>500</v>
      </c>
      <c r="J19" s="96">
        <v>148.19</v>
      </c>
      <c r="K19" s="77"/>
      <c r="L19" s="1195">
        <v>500</v>
      </c>
      <c r="M19" s="86">
        <v>301.38</v>
      </c>
      <c r="N19" s="88">
        <f t="shared" si="0"/>
        <v>0.60275999999999996</v>
      </c>
      <c r="O19" s="92">
        <v>301.38</v>
      </c>
      <c r="P19" s="93">
        <f t="shared" si="18"/>
        <v>0.60275999999999996</v>
      </c>
      <c r="Q19" s="179"/>
      <c r="R19" s="179" t="s">
        <v>106</v>
      </c>
      <c r="S19" s="127"/>
      <c r="U19" s="113">
        <v>301.38</v>
      </c>
      <c r="V19" s="129">
        <f t="shared" si="6"/>
        <v>0.60275999999999996</v>
      </c>
      <c r="W19" s="117">
        <v>431.38</v>
      </c>
      <c r="X19" s="130">
        <f t="shared" si="7"/>
        <v>0.86275999999999997</v>
      </c>
      <c r="Y19" s="182" t="s">
        <v>122</v>
      </c>
      <c r="Z19" s="233">
        <v>1000</v>
      </c>
      <c r="AA19" s="205"/>
      <c r="AB19" s="206">
        <f t="shared" si="8"/>
        <v>0</v>
      </c>
      <c r="AC19" s="226">
        <v>240</v>
      </c>
      <c r="AD19" s="229">
        <f t="shared" si="9"/>
        <v>0.24</v>
      </c>
      <c r="AE19" s="214">
        <v>500</v>
      </c>
      <c r="AF19" s="240">
        <f t="shared" si="10"/>
        <v>740</v>
      </c>
      <c r="AG19" s="242">
        <f t="shared" si="11"/>
        <v>0.74</v>
      </c>
      <c r="AH19" s="263">
        <v>240</v>
      </c>
      <c r="AI19" s="242">
        <f t="shared" si="12"/>
        <v>0.24</v>
      </c>
      <c r="AJ19" s="266">
        <v>1000</v>
      </c>
      <c r="AK19" s="216" t="s">
        <v>138</v>
      </c>
      <c r="AL19" s="246"/>
      <c r="AM19" s="268"/>
      <c r="AN19" s="271">
        <v>1660.2</v>
      </c>
      <c r="AO19" s="279">
        <v>2461</v>
      </c>
      <c r="AP19" s="304">
        <v>2477.5</v>
      </c>
      <c r="AQ19" s="305">
        <f>AO19/9*3</f>
        <v>820.33333333333337</v>
      </c>
      <c r="AR19" s="303">
        <f t="shared" si="13"/>
        <v>3281.3333333333335</v>
      </c>
      <c r="AS19" s="306">
        <f t="shared" si="14"/>
        <v>2.4775</v>
      </c>
      <c r="AT19" s="271"/>
      <c r="AU19" s="266">
        <v>1000</v>
      </c>
      <c r="AV19" s="278"/>
      <c r="AW19" s="293">
        <v>740.53</v>
      </c>
      <c r="AX19" s="315">
        <f>AW19/AU19</f>
        <v>0.74053000000000002</v>
      </c>
      <c r="AY19" s="335">
        <f>162.5+50</f>
        <v>212.5</v>
      </c>
      <c r="AZ19" s="335">
        <f t="shared" si="15"/>
        <v>953.03</v>
      </c>
      <c r="BA19" s="315">
        <f t="shared" si="16"/>
        <v>0.95302999999999993</v>
      </c>
      <c r="BB19" s="340">
        <v>1000</v>
      </c>
      <c r="BC19" s="437" t="s">
        <v>234</v>
      </c>
      <c r="BD19" s="443">
        <v>305.23</v>
      </c>
      <c r="BE19" s="448">
        <v>0.36</v>
      </c>
      <c r="BF19" s="419">
        <f>'Natwest Expenses'!AD132</f>
        <v>173.99</v>
      </c>
      <c r="BG19" s="428">
        <f>BF19/BB19</f>
        <v>0.17399000000000001</v>
      </c>
      <c r="BH19" s="476"/>
      <c r="BI19" s="476">
        <f t="shared" si="1"/>
        <v>305.23</v>
      </c>
      <c r="BJ19" s="428">
        <f t="shared" si="2"/>
        <v>0.30523</v>
      </c>
      <c r="BK19" s="456">
        <v>700</v>
      </c>
      <c r="BM19" s="511">
        <v>28</v>
      </c>
      <c r="BN19" s="510">
        <f t="shared" si="17"/>
        <v>2.8000000000000001E-2</v>
      </c>
      <c r="BO19" s="1095">
        <v>700</v>
      </c>
      <c r="BP19" s="1223">
        <v>1716</v>
      </c>
      <c r="BQ19" s="1090"/>
      <c r="BR19" s="1090"/>
      <c r="BS19" s="1090"/>
      <c r="BU19" s="24" t="s">
        <v>51</v>
      </c>
      <c r="BV19" s="7"/>
      <c r="BW19" s="2"/>
      <c r="BX19" s="485"/>
      <c r="BY19" s="332"/>
      <c r="BZ19" s="497">
        <f>BZ25</f>
        <v>152773.242</v>
      </c>
    </row>
    <row r="20" spans="1:79" ht="16" thickTop="1" x14ac:dyDescent="0.35">
      <c r="A20" s="2" t="s">
        <v>256</v>
      </c>
      <c r="B20" s="9"/>
      <c r="C20" s="181"/>
      <c r="D20" s="177"/>
      <c r="E20" s="6"/>
      <c r="F20" s="178"/>
      <c r="G20" s="123"/>
      <c r="H20" s="106"/>
      <c r="I20" s="127"/>
      <c r="J20" s="96"/>
      <c r="K20" s="77"/>
      <c r="L20" s="1195"/>
      <c r="M20" s="86"/>
      <c r="N20" s="88"/>
      <c r="O20" s="92"/>
      <c r="P20" s="93"/>
      <c r="Q20" s="179"/>
      <c r="R20" s="179"/>
      <c r="S20" s="127"/>
      <c r="U20" s="113"/>
      <c r="V20" s="129"/>
      <c r="W20" s="117"/>
      <c r="X20" s="130"/>
      <c r="Y20" s="182"/>
      <c r="Z20" s="233"/>
      <c r="AA20" s="205"/>
      <c r="AB20" s="206"/>
      <c r="AC20" s="226"/>
      <c r="AD20" s="229"/>
      <c r="AE20" s="214"/>
      <c r="AF20" s="240"/>
      <c r="AG20" s="242"/>
      <c r="AH20" s="263"/>
      <c r="AI20" s="242"/>
      <c r="AJ20" s="266"/>
      <c r="AK20" s="216"/>
      <c r="AL20" s="246"/>
      <c r="AM20" s="268"/>
      <c r="AN20" s="271"/>
      <c r="AO20" s="279"/>
      <c r="AP20" s="304"/>
      <c r="AQ20" s="305"/>
      <c r="AR20" s="303"/>
      <c r="AS20" s="306"/>
      <c r="AT20" s="271"/>
      <c r="AU20" s="266"/>
      <c r="AV20" s="278"/>
      <c r="AW20" s="293"/>
      <c r="AX20" s="315"/>
      <c r="AY20" s="335"/>
      <c r="AZ20" s="335"/>
      <c r="BA20" s="315"/>
      <c r="BB20" s="340">
        <v>200</v>
      </c>
      <c r="BC20" s="437"/>
      <c r="BD20" s="443">
        <f>'Natwest Expenses'!AM132</f>
        <v>103.25</v>
      </c>
      <c r="BE20" s="448">
        <v>0</v>
      </c>
      <c r="BF20" s="419">
        <f>'Natwest Expenses'!AM132</f>
        <v>103.25</v>
      </c>
      <c r="BG20" s="428">
        <f>BF20/BB20</f>
        <v>0.51624999999999999</v>
      </c>
      <c r="BH20" s="476"/>
      <c r="BI20" s="476">
        <f t="shared" si="1"/>
        <v>103.25</v>
      </c>
      <c r="BJ20" s="428">
        <f t="shared" si="2"/>
        <v>0.51624999999999999</v>
      </c>
      <c r="BK20" s="456">
        <v>100</v>
      </c>
      <c r="BM20" s="511">
        <v>93.95</v>
      </c>
      <c r="BN20" s="508">
        <f t="shared" si="17"/>
        <v>0.46975</v>
      </c>
      <c r="BO20" s="1095">
        <v>100</v>
      </c>
      <c r="BP20" s="1223">
        <v>-2.87</v>
      </c>
      <c r="BQ20" s="1090"/>
      <c r="BR20" s="1090"/>
      <c r="BS20" s="1090"/>
      <c r="BU20" s="24"/>
      <c r="BV20" s="7"/>
      <c r="BW20" s="2"/>
      <c r="BX20" s="485"/>
      <c r="BY20" s="332"/>
      <c r="BZ20" s="489"/>
      <c r="CA20" s="320"/>
    </row>
    <row r="21" spans="1:79" ht="15.75" customHeight="1" x14ac:dyDescent="0.35">
      <c r="A21" s="341" t="s">
        <v>18</v>
      </c>
      <c r="B21" s="342">
        <v>1500</v>
      </c>
      <c r="C21" s="343"/>
      <c r="D21" s="344">
        <f t="shared" si="3"/>
        <v>0</v>
      </c>
      <c r="E21" s="345">
        <v>769.08</v>
      </c>
      <c r="F21" s="346">
        <f t="shared" si="4"/>
        <v>0.51272000000000006</v>
      </c>
      <c r="G21" s="347">
        <f>E21/10*12</f>
        <v>922.89599999999996</v>
      </c>
      <c r="H21" s="348">
        <v>860.78</v>
      </c>
      <c r="I21" s="349">
        <v>1500</v>
      </c>
      <c r="J21" s="350">
        <v>860.78</v>
      </c>
      <c r="K21" s="351">
        <f t="shared" si="5"/>
        <v>0.57385333333333333</v>
      </c>
      <c r="L21" s="1195">
        <v>1500</v>
      </c>
      <c r="M21" s="352">
        <v>130</v>
      </c>
      <c r="N21" s="353">
        <f t="shared" si="0"/>
        <v>8.666666666666667E-2</v>
      </c>
      <c r="O21" s="354">
        <v>130</v>
      </c>
      <c r="P21" s="355">
        <f t="shared" si="18"/>
        <v>8.666666666666667E-2</v>
      </c>
      <c r="Q21" s="356"/>
      <c r="R21" s="356"/>
      <c r="S21" s="349"/>
      <c r="T21" s="357" t="s">
        <v>19</v>
      </c>
      <c r="U21" s="358">
        <v>130</v>
      </c>
      <c r="V21" s="359">
        <f t="shared" si="6"/>
        <v>8.666666666666667E-2</v>
      </c>
      <c r="W21" s="360">
        <v>0</v>
      </c>
      <c r="X21" s="361">
        <f t="shared" si="7"/>
        <v>0</v>
      </c>
      <c r="Y21" s="362"/>
      <c r="Z21" s="363">
        <v>500</v>
      </c>
      <c r="AA21" s="364"/>
      <c r="AB21" s="365">
        <f t="shared" si="8"/>
        <v>0</v>
      </c>
      <c r="AC21" s="366"/>
      <c r="AD21" s="367">
        <f t="shared" si="9"/>
        <v>0</v>
      </c>
      <c r="AE21" s="368"/>
      <c r="AF21" s="369">
        <f t="shared" si="10"/>
        <v>0</v>
      </c>
      <c r="AG21" s="370">
        <f t="shared" si="11"/>
        <v>0</v>
      </c>
      <c r="AH21" s="371">
        <v>83.06</v>
      </c>
      <c r="AI21" s="370">
        <f t="shared" si="12"/>
        <v>0.16612000000000002</v>
      </c>
      <c r="AJ21" s="372"/>
      <c r="AK21" s="373"/>
      <c r="AL21" s="374"/>
      <c r="AM21" s="375"/>
      <c r="AN21" s="376"/>
      <c r="AO21" s="377" t="e">
        <f>'Natwest Expenses'!#REF!</f>
        <v>#REF!</v>
      </c>
      <c r="AP21" s="378"/>
      <c r="AQ21" s="379">
        <v>0</v>
      </c>
      <c r="AR21" s="380" t="e">
        <f t="shared" si="13"/>
        <v>#REF!</v>
      </c>
      <c r="AS21" s="381"/>
      <c r="AT21" s="376"/>
      <c r="AU21" s="266">
        <v>0</v>
      </c>
      <c r="AV21" s="382"/>
      <c r="AW21" s="383"/>
      <c r="AX21" s="384"/>
      <c r="AY21" s="385">
        <v>0</v>
      </c>
      <c r="AZ21" s="385">
        <f t="shared" si="15"/>
        <v>0</v>
      </c>
      <c r="BA21" s="384"/>
      <c r="BB21" s="386">
        <v>0</v>
      </c>
      <c r="BC21" s="466"/>
      <c r="BD21" s="467"/>
      <c r="BE21" s="468"/>
      <c r="BF21" s="469"/>
      <c r="BG21" s="470"/>
      <c r="BH21" s="477"/>
      <c r="BI21" s="477">
        <f t="shared" si="1"/>
        <v>0</v>
      </c>
      <c r="BJ21" s="470"/>
      <c r="BK21" s="471">
        <v>0</v>
      </c>
      <c r="BL21" s="472" t="s">
        <v>327</v>
      </c>
      <c r="BM21" s="512"/>
      <c r="BN21" s="512"/>
      <c r="BO21" s="1095"/>
      <c r="BP21" s="1223"/>
      <c r="BQ21" s="1090"/>
      <c r="BR21" s="1090"/>
      <c r="BS21" s="1090"/>
      <c r="BU21" s="20" t="s">
        <v>323</v>
      </c>
      <c r="BV21" s="2"/>
      <c r="BW21" s="2"/>
      <c r="BX21" s="485"/>
      <c r="BY21" s="474"/>
      <c r="BZ21" s="486">
        <v>49831</v>
      </c>
      <c r="CA21" s="320" t="s">
        <v>335</v>
      </c>
    </row>
    <row r="22" spans="1:79" ht="15.75" customHeight="1" x14ac:dyDescent="0.35">
      <c r="A22" s="341" t="s">
        <v>259</v>
      </c>
      <c r="B22" s="342"/>
      <c r="C22" s="343"/>
      <c r="D22" s="344"/>
      <c r="E22" s="345"/>
      <c r="F22" s="346"/>
      <c r="G22" s="347"/>
      <c r="H22" s="348"/>
      <c r="I22" s="349">
        <v>100</v>
      </c>
      <c r="J22" s="350"/>
      <c r="K22" s="351"/>
      <c r="L22" s="1195">
        <v>100</v>
      </c>
      <c r="M22" s="352"/>
      <c r="N22" s="353">
        <f t="shared" si="0"/>
        <v>0</v>
      </c>
      <c r="O22" s="354">
        <v>0</v>
      </c>
      <c r="P22" s="355">
        <f t="shared" si="18"/>
        <v>0</v>
      </c>
      <c r="Q22" s="356"/>
      <c r="R22" s="356"/>
      <c r="S22" s="349"/>
      <c r="T22" s="357"/>
      <c r="U22" s="358"/>
      <c r="V22" s="359">
        <f t="shared" si="6"/>
        <v>0</v>
      </c>
      <c r="W22" s="360">
        <v>0</v>
      </c>
      <c r="X22" s="361">
        <f t="shared" si="7"/>
        <v>0</v>
      </c>
      <c r="Y22" s="362"/>
      <c r="Z22" s="363">
        <v>100</v>
      </c>
      <c r="AA22" s="364"/>
      <c r="AB22" s="365">
        <f t="shared" si="8"/>
        <v>0</v>
      </c>
      <c r="AC22" s="366"/>
      <c r="AD22" s="367">
        <f t="shared" si="9"/>
        <v>0</v>
      </c>
      <c r="AE22" s="368"/>
      <c r="AF22" s="369">
        <f t="shared" si="10"/>
        <v>0</v>
      </c>
      <c r="AG22" s="370">
        <f t="shared" si="11"/>
        <v>0</v>
      </c>
      <c r="AH22" s="371">
        <v>0</v>
      </c>
      <c r="AI22" s="370">
        <f t="shared" si="12"/>
        <v>0</v>
      </c>
      <c r="AJ22" s="372"/>
      <c r="AK22" s="373"/>
      <c r="AL22" s="374">
        <v>100</v>
      </c>
      <c r="AM22" s="375">
        <v>0</v>
      </c>
      <c r="AN22" s="376"/>
      <c r="AO22" s="377"/>
      <c r="AP22" s="378"/>
      <c r="AQ22" s="379"/>
      <c r="AR22" s="380">
        <f t="shared" si="13"/>
        <v>0</v>
      </c>
      <c r="AS22" s="381"/>
      <c r="AT22" s="376"/>
      <c r="AU22" s="266"/>
      <c r="AV22" s="382"/>
      <c r="AW22" s="383"/>
      <c r="AX22" s="384"/>
      <c r="AY22" s="385">
        <v>0</v>
      </c>
      <c r="AZ22" s="385">
        <f t="shared" si="15"/>
        <v>0</v>
      </c>
      <c r="BA22" s="384"/>
      <c r="BB22" s="386">
        <v>0</v>
      </c>
      <c r="BC22" s="466"/>
      <c r="BD22" s="467"/>
      <c r="BE22" s="468"/>
      <c r="BF22" s="469"/>
      <c r="BG22" s="470"/>
      <c r="BH22" s="477"/>
      <c r="BI22" s="477">
        <f t="shared" si="1"/>
        <v>0</v>
      </c>
      <c r="BJ22" s="470"/>
      <c r="BK22" s="471">
        <v>0</v>
      </c>
      <c r="BL22" s="472" t="s">
        <v>327</v>
      </c>
      <c r="BM22" s="512"/>
      <c r="BN22" s="512"/>
      <c r="BO22" s="1095"/>
      <c r="BP22" s="1223"/>
      <c r="BQ22" s="1090"/>
      <c r="BR22" s="1090"/>
      <c r="BS22" s="1090"/>
      <c r="BU22" s="20" t="s">
        <v>126</v>
      </c>
      <c r="BV22" s="2"/>
      <c r="BW22" s="2"/>
      <c r="BX22" s="485"/>
      <c r="BY22" s="474"/>
      <c r="BZ22" s="495">
        <v>487.5</v>
      </c>
      <c r="CA22" s="320" t="s">
        <v>332</v>
      </c>
    </row>
    <row r="23" spans="1:79" ht="15.5" x14ac:dyDescent="0.35">
      <c r="A23" s="2" t="s">
        <v>20</v>
      </c>
      <c r="B23" s="9">
        <v>1500</v>
      </c>
      <c r="C23" s="181">
        <v>995.06</v>
      </c>
      <c r="D23" s="177">
        <f t="shared" si="3"/>
        <v>0.66337333333333326</v>
      </c>
      <c r="E23" s="6">
        <v>1057.8399999999999</v>
      </c>
      <c r="F23" s="178">
        <f t="shared" si="4"/>
        <v>0.70522666666666656</v>
      </c>
      <c r="G23" s="123">
        <f>E23+200</f>
        <v>1257.8399999999999</v>
      </c>
      <c r="H23" s="106">
        <v>1057.8399999999999</v>
      </c>
      <c r="I23" s="127">
        <v>1000</v>
      </c>
      <c r="J23" s="96">
        <v>1090.1400000000001</v>
      </c>
      <c r="K23" s="77">
        <f t="shared" si="5"/>
        <v>1.0901400000000001</v>
      </c>
      <c r="L23" s="1195">
        <v>1000</v>
      </c>
      <c r="M23" s="86">
        <v>85.37</v>
      </c>
      <c r="N23" s="88">
        <f t="shared" si="0"/>
        <v>8.5370000000000001E-2</v>
      </c>
      <c r="O23" s="92">
        <v>292.56</v>
      </c>
      <c r="P23" s="93">
        <f t="shared" si="18"/>
        <v>0.29255999999999999</v>
      </c>
      <c r="Q23" s="179"/>
      <c r="R23" s="179"/>
      <c r="S23" s="127"/>
      <c r="T23" t="s">
        <v>21</v>
      </c>
      <c r="U23" s="113">
        <v>645.54999999999995</v>
      </c>
      <c r="V23" s="129">
        <f t="shared" si="6"/>
        <v>0.64554999999999996</v>
      </c>
      <c r="W23" s="117">
        <v>772.39</v>
      </c>
      <c r="X23" s="130">
        <f t="shared" si="7"/>
        <v>0.77239000000000002</v>
      </c>
      <c r="Y23" s="182">
        <v>300</v>
      </c>
      <c r="Z23" s="233">
        <v>1000</v>
      </c>
      <c r="AA23" s="205">
        <v>117.79</v>
      </c>
      <c r="AB23" s="206">
        <f t="shared" si="8"/>
        <v>0.11779000000000001</v>
      </c>
      <c r="AC23" s="226">
        <v>230.27</v>
      </c>
      <c r="AD23" s="229">
        <f t="shared" si="9"/>
        <v>0.23027</v>
      </c>
      <c r="AE23" s="214">
        <v>220</v>
      </c>
      <c r="AF23" s="240">
        <f t="shared" si="10"/>
        <v>450.27</v>
      </c>
      <c r="AG23" s="242">
        <f t="shared" si="11"/>
        <v>0.45027</v>
      </c>
      <c r="AH23" s="263">
        <f>383.23+90.01</f>
        <v>473.24</v>
      </c>
      <c r="AI23" s="242">
        <f t="shared" si="12"/>
        <v>0.47323999999999999</v>
      </c>
      <c r="AJ23" s="266">
        <v>600</v>
      </c>
      <c r="AK23" s="216" t="s">
        <v>146</v>
      </c>
      <c r="AL23" s="246"/>
      <c r="AM23" s="268"/>
      <c r="AN23" s="271">
        <v>163.77000000000001</v>
      </c>
      <c r="AO23" s="279">
        <v>268.52999999999997</v>
      </c>
      <c r="AP23" s="304">
        <v>394.19</v>
      </c>
      <c r="AQ23" s="305">
        <f>AO23/9*3</f>
        <v>89.509999999999991</v>
      </c>
      <c r="AR23" s="303">
        <f t="shared" si="13"/>
        <v>358.03999999999996</v>
      </c>
      <c r="AS23" s="306">
        <f t="shared" si="14"/>
        <v>0.65698333333333336</v>
      </c>
      <c r="AT23" s="271"/>
      <c r="AU23" s="266">
        <v>250</v>
      </c>
      <c r="AV23" s="278"/>
      <c r="AW23" s="293">
        <v>255.99</v>
      </c>
      <c r="AX23" s="315">
        <f>AW23/AU23</f>
        <v>1.02396</v>
      </c>
      <c r="AY23" s="335">
        <v>50</v>
      </c>
      <c r="AZ23" s="335">
        <f t="shared" si="15"/>
        <v>305.99</v>
      </c>
      <c r="BA23" s="315">
        <f t="shared" si="16"/>
        <v>1.2239599999999999</v>
      </c>
      <c r="BB23" s="340">
        <v>200</v>
      </c>
      <c r="BC23" s="434"/>
      <c r="BD23" s="440">
        <v>0</v>
      </c>
      <c r="BE23" s="446">
        <v>0</v>
      </c>
      <c r="BF23" s="417" t="e">
        <f>'Natwest Expenses'!#REF!</f>
        <v>#REF!</v>
      </c>
      <c r="BG23" s="428" t="e">
        <f>BF23/BB23</f>
        <v>#REF!</v>
      </c>
      <c r="BH23" s="476"/>
      <c r="BI23" s="476">
        <f t="shared" si="1"/>
        <v>0</v>
      </c>
      <c r="BJ23" s="428">
        <f t="shared" si="2"/>
        <v>0</v>
      </c>
      <c r="BK23" s="456">
        <v>0</v>
      </c>
      <c r="BL23" s="310" t="s">
        <v>310</v>
      </c>
      <c r="BM23" s="511">
        <v>0</v>
      </c>
      <c r="BN23" s="510">
        <f t="shared" si="17"/>
        <v>0</v>
      </c>
      <c r="BO23" s="1095"/>
      <c r="BP23" s="1223">
        <v>0</v>
      </c>
      <c r="BQ23" s="1090"/>
      <c r="BR23" s="1090"/>
      <c r="BS23" s="1090"/>
      <c r="BU23" s="20" t="s">
        <v>125</v>
      </c>
      <c r="BV23" s="2"/>
      <c r="BW23" s="2"/>
      <c r="BX23" s="485"/>
      <c r="BY23" s="474"/>
      <c r="BZ23" s="495">
        <f>'Natwest Expenses'!K132</f>
        <v>1654.1999999999998</v>
      </c>
      <c r="CA23" s="310" t="s">
        <v>333</v>
      </c>
    </row>
    <row r="24" spans="1:79" ht="43" x14ac:dyDescent="0.35">
      <c r="A24" s="2" t="s">
        <v>22</v>
      </c>
      <c r="B24" s="9">
        <v>200</v>
      </c>
      <c r="C24" s="181"/>
      <c r="D24" s="177">
        <f t="shared" si="3"/>
        <v>0</v>
      </c>
      <c r="E24" s="6">
        <v>57.72</v>
      </c>
      <c r="F24" s="178">
        <f t="shared" si="4"/>
        <v>0.28859999999999997</v>
      </c>
      <c r="G24" s="123">
        <f>E24/10*12</f>
        <v>69.26400000000001</v>
      </c>
      <c r="H24" s="106">
        <v>89.56</v>
      </c>
      <c r="I24" s="127">
        <v>150</v>
      </c>
      <c r="J24" s="96">
        <v>89.56</v>
      </c>
      <c r="K24" s="77">
        <f t="shared" si="5"/>
        <v>0.59706666666666663</v>
      </c>
      <c r="L24" s="1195">
        <v>150</v>
      </c>
      <c r="M24" s="86"/>
      <c r="N24" s="88">
        <f t="shared" si="0"/>
        <v>0</v>
      </c>
      <c r="O24" s="92">
        <v>53.43</v>
      </c>
      <c r="P24" s="93">
        <f t="shared" si="18"/>
        <v>0.35620000000000002</v>
      </c>
      <c r="Q24" s="179"/>
      <c r="R24" s="179"/>
      <c r="S24" s="127"/>
      <c r="U24" s="113">
        <v>53.43</v>
      </c>
      <c r="V24" s="129">
        <f t="shared" si="6"/>
        <v>0.35620000000000002</v>
      </c>
      <c r="W24" s="117">
        <v>84.62</v>
      </c>
      <c r="X24" s="130">
        <f t="shared" si="7"/>
        <v>0.56413333333333338</v>
      </c>
      <c r="Y24" s="182">
        <v>53</v>
      </c>
      <c r="Z24" s="233">
        <v>150</v>
      </c>
      <c r="AA24" s="205"/>
      <c r="AB24" s="206">
        <f t="shared" si="8"/>
        <v>0</v>
      </c>
      <c r="AC24" s="226">
        <v>36.97</v>
      </c>
      <c r="AD24" s="229">
        <f t="shared" si="9"/>
        <v>0.24646666666666667</v>
      </c>
      <c r="AE24" s="214">
        <v>73</v>
      </c>
      <c r="AF24" s="240">
        <f t="shared" si="10"/>
        <v>109.97</v>
      </c>
      <c r="AG24" s="242">
        <f t="shared" si="11"/>
        <v>0.7331333333333333</v>
      </c>
      <c r="AH24" s="263">
        <v>68.45</v>
      </c>
      <c r="AI24" s="242">
        <f t="shared" si="12"/>
        <v>0.45633333333333337</v>
      </c>
      <c r="AJ24" s="266">
        <v>100</v>
      </c>
      <c r="AK24" s="216"/>
      <c r="AL24" s="246"/>
      <c r="AM24" s="268"/>
      <c r="AN24" s="271">
        <v>6.59</v>
      </c>
      <c r="AO24" s="279">
        <v>6.59</v>
      </c>
      <c r="AP24" s="304">
        <v>6.59</v>
      </c>
      <c r="AQ24" s="305">
        <v>30</v>
      </c>
      <c r="AR24" s="303">
        <f t="shared" si="13"/>
        <v>36.590000000000003</v>
      </c>
      <c r="AS24" s="306">
        <f t="shared" si="14"/>
        <v>6.59E-2</v>
      </c>
      <c r="AT24" s="271"/>
      <c r="AU24" s="266">
        <v>50</v>
      </c>
      <c r="AV24" s="278"/>
      <c r="AW24" s="293">
        <v>89.88</v>
      </c>
      <c r="AX24" s="315">
        <f>AW24/AU24</f>
        <v>1.7975999999999999</v>
      </c>
      <c r="AY24" s="335">
        <v>0</v>
      </c>
      <c r="AZ24" s="335">
        <f t="shared" si="15"/>
        <v>89.88</v>
      </c>
      <c r="BA24" s="315">
        <f t="shared" si="16"/>
        <v>1.7975999999999999</v>
      </c>
      <c r="BB24" s="340">
        <v>0</v>
      </c>
      <c r="BC24" s="434"/>
      <c r="BD24" s="440">
        <v>0</v>
      </c>
      <c r="BE24" s="446">
        <v>0</v>
      </c>
      <c r="BF24" s="417" t="e">
        <f>'Natwest Expenses'!#REF!</f>
        <v>#REF!</v>
      </c>
      <c r="BG24" s="428"/>
      <c r="BH24" s="476"/>
      <c r="BI24" s="476">
        <f t="shared" si="1"/>
        <v>0</v>
      </c>
      <c r="BJ24" s="428"/>
      <c r="BK24" s="456">
        <v>0</v>
      </c>
      <c r="BL24" s="310" t="s">
        <v>310</v>
      </c>
      <c r="BM24" s="511">
        <v>0</v>
      </c>
      <c r="BN24" s="508"/>
      <c r="BO24" s="1095"/>
      <c r="BP24" s="1223">
        <v>43.66</v>
      </c>
      <c r="BQ24" s="1090"/>
      <c r="BR24" s="1090"/>
      <c r="BS24" s="1090"/>
      <c r="BU24" s="20" t="s">
        <v>329</v>
      </c>
      <c r="BV24" s="2"/>
      <c r="BW24" s="2"/>
      <c r="BX24" s="485"/>
      <c r="BY24" s="474"/>
      <c r="BZ24" s="495">
        <f>105821.82-BH56</f>
        <v>100800.542</v>
      </c>
      <c r="CA24" s="460" t="s">
        <v>330</v>
      </c>
    </row>
    <row r="25" spans="1:79" ht="16" thickBot="1" x14ac:dyDescent="0.4">
      <c r="A25" s="2" t="s">
        <v>23</v>
      </c>
      <c r="B25" s="9">
        <v>150</v>
      </c>
      <c r="C25" s="181"/>
      <c r="D25" s="177">
        <f t="shared" si="3"/>
        <v>0</v>
      </c>
      <c r="E25" s="6">
        <v>91.7</v>
      </c>
      <c r="F25" s="178">
        <f t="shared" si="4"/>
        <v>0.6113333333333334</v>
      </c>
      <c r="G25" s="123">
        <f>E25</f>
        <v>91.7</v>
      </c>
      <c r="H25" s="106"/>
      <c r="I25" s="127">
        <v>150</v>
      </c>
      <c r="J25" s="96"/>
      <c r="K25" s="77">
        <f t="shared" si="5"/>
        <v>0</v>
      </c>
      <c r="L25" s="1195">
        <v>150</v>
      </c>
      <c r="M25" s="86"/>
      <c r="N25" s="88">
        <f t="shared" si="0"/>
        <v>0</v>
      </c>
      <c r="O25" s="92">
        <v>0</v>
      </c>
      <c r="P25" s="93">
        <f t="shared" si="18"/>
        <v>0</v>
      </c>
      <c r="Q25" s="179"/>
      <c r="R25" s="179"/>
      <c r="S25" s="127"/>
      <c r="U25" s="113"/>
      <c r="V25" s="129">
        <f t="shared" si="6"/>
        <v>0</v>
      </c>
      <c r="W25" s="117">
        <v>125.35</v>
      </c>
      <c r="X25" s="130">
        <f t="shared" si="7"/>
        <v>0.83566666666666667</v>
      </c>
      <c r="Y25" s="182">
        <v>110</v>
      </c>
      <c r="Z25" s="233">
        <v>115.5</v>
      </c>
      <c r="AA25" s="205"/>
      <c r="AB25" s="206">
        <f t="shared" si="8"/>
        <v>0</v>
      </c>
      <c r="AC25" s="226"/>
      <c r="AD25" s="229">
        <f t="shared" si="9"/>
        <v>0</v>
      </c>
      <c r="AE25" s="214">
        <v>115.5</v>
      </c>
      <c r="AF25" s="240">
        <f t="shared" si="10"/>
        <v>115.5</v>
      </c>
      <c r="AG25" s="242">
        <f t="shared" si="11"/>
        <v>1</v>
      </c>
      <c r="AH25" s="263"/>
      <c r="AI25" s="242">
        <f t="shared" si="12"/>
        <v>0</v>
      </c>
      <c r="AJ25" s="266">
        <v>150</v>
      </c>
      <c r="AK25" s="216" t="s">
        <v>140</v>
      </c>
      <c r="AL25" s="246"/>
      <c r="AM25" s="268"/>
      <c r="AN25" s="271"/>
      <c r="AO25" s="279"/>
      <c r="AP25" s="304"/>
      <c r="AQ25" s="305">
        <v>150</v>
      </c>
      <c r="AR25" s="303">
        <f t="shared" si="13"/>
        <v>150</v>
      </c>
      <c r="AS25" s="306">
        <f t="shared" si="14"/>
        <v>0</v>
      </c>
      <c r="AT25" s="271"/>
      <c r="AU25" s="266">
        <v>150</v>
      </c>
      <c r="AV25" s="278"/>
      <c r="AW25" s="293">
        <v>0</v>
      </c>
      <c r="AX25" s="315">
        <f>AW25/AU25</f>
        <v>0</v>
      </c>
      <c r="AY25" s="335">
        <v>0</v>
      </c>
      <c r="AZ25" s="335">
        <f t="shared" si="15"/>
        <v>0</v>
      </c>
      <c r="BA25" s="315">
        <f t="shared" si="16"/>
        <v>0</v>
      </c>
      <c r="BB25" s="340">
        <v>0</v>
      </c>
      <c r="BC25" s="434"/>
      <c r="BD25" s="440"/>
      <c r="BE25" s="446"/>
      <c r="BF25" s="417"/>
      <c r="BG25" s="428"/>
      <c r="BH25" s="476"/>
      <c r="BI25" s="476">
        <f t="shared" si="1"/>
        <v>0</v>
      </c>
      <c r="BJ25" s="428"/>
      <c r="BK25" s="456">
        <v>0</v>
      </c>
      <c r="BL25" s="310" t="s">
        <v>311</v>
      </c>
      <c r="BM25" s="511">
        <v>0</v>
      </c>
      <c r="BN25" s="510"/>
      <c r="BO25" s="1095"/>
      <c r="BP25" s="1223"/>
      <c r="BQ25" s="1090"/>
      <c r="BR25" s="1090"/>
      <c r="BS25" s="1090"/>
      <c r="BU25" s="26" t="s">
        <v>51</v>
      </c>
      <c r="BV25" s="27"/>
      <c r="BW25" s="220"/>
      <c r="BX25" s="498"/>
      <c r="BY25" s="499"/>
      <c r="BZ25" s="500">
        <f>SUM(BZ21:BZ24)</f>
        <v>152773.242</v>
      </c>
    </row>
    <row r="26" spans="1:79" ht="22" x14ac:dyDescent="0.35">
      <c r="A26" s="2" t="s">
        <v>24</v>
      </c>
      <c r="B26" s="9">
        <v>3250</v>
      </c>
      <c r="C26" s="181">
        <v>208.36</v>
      </c>
      <c r="D26" s="177">
        <f t="shared" si="3"/>
        <v>6.4110769230769235E-2</v>
      </c>
      <c r="E26" s="6">
        <v>208.36</v>
      </c>
      <c r="F26" s="178">
        <f t="shared" si="4"/>
        <v>6.4110769230769235E-2</v>
      </c>
      <c r="G26" s="123"/>
      <c r="H26" s="106">
        <v>3009.04</v>
      </c>
      <c r="I26" s="127">
        <v>5000</v>
      </c>
      <c r="J26" s="96">
        <v>2658.94</v>
      </c>
      <c r="K26" s="77">
        <f t="shared" si="5"/>
        <v>0.53178800000000004</v>
      </c>
      <c r="L26" s="1195">
        <v>5000</v>
      </c>
      <c r="M26" s="86"/>
      <c r="N26" s="88">
        <f t="shared" si="0"/>
        <v>0</v>
      </c>
      <c r="O26" s="92">
        <v>0</v>
      </c>
      <c r="P26" s="93">
        <f t="shared" si="18"/>
        <v>0</v>
      </c>
      <c r="Q26" s="179"/>
      <c r="R26" s="179"/>
      <c r="S26" s="127"/>
      <c r="T26" t="s">
        <v>25</v>
      </c>
      <c r="U26" s="113"/>
      <c r="V26" s="129">
        <f t="shared" si="6"/>
        <v>0</v>
      </c>
      <c r="W26" s="117">
        <v>2800.68</v>
      </c>
      <c r="X26" s="130">
        <f t="shared" si="7"/>
        <v>0.56013599999999997</v>
      </c>
      <c r="Y26" s="182">
        <v>2800</v>
      </c>
      <c r="Z26" s="233">
        <v>2940</v>
      </c>
      <c r="AA26" s="205">
        <v>466.85</v>
      </c>
      <c r="AB26" s="206">
        <f t="shared" si="8"/>
        <v>0.15879251700680272</v>
      </c>
      <c r="AC26" s="226">
        <v>1400.41</v>
      </c>
      <c r="AD26" s="229">
        <f t="shared" si="9"/>
        <v>0.47632993197278917</v>
      </c>
      <c r="AE26" s="214">
        <v>1400.3</v>
      </c>
      <c r="AF26" s="240">
        <f t="shared" si="10"/>
        <v>2800.71</v>
      </c>
      <c r="AG26" s="242">
        <f t="shared" si="11"/>
        <v>0.95262244897959181</v>
      </c>
      <c r="AH26" s="263">
        <v>2567.36</v>
      </c>
      <c r="AI26" s="242">
        <f t="shared" si="12"/>
        <v>0.87325170068027214</v>
      </c>
      <c r="AJ26" s="266">
        <v>3000</v>
      </c>
      <c r="AK26" s="216" t="s">
        <v>147</v>
      </c>
      <c r="AL26" s="246">
        <v>1661</v>
      </c>
      <c r="AM26" s="268">
        <v>1620</v>
      </c>
      <c r="AN26" s="271">
        <v>1413.24</v>
      </c>
      <c r="AO26" s="279">
        <v>1888.62</v>
      </c>
      <c r="AP26" s="304">
        <v>2839.38</v>
      </c>
      <c r="AQ26" s="305">
        <f>AO26/9*3</f>
        <v>629.54</v>
      </c>
      <c r="AR26" s="303">
        <f t="shared" si="13"/>
        <v>2518.16</v>
      </c>
      <c r="AS26" s="306">
        <f t="shared" si="14"/>
        <v>0.94646000000000008</v>
      </c>
      <c r="AT26" s="271"/>
      <c r="AU26" s="266">
        <v>2900</v>
      </c>
      <c r="AV26" s="278" t="s">
        <v>207</v>
      </c>
      <c r="AW26" s="293">
        <v>1258.8399999999999</v>
      </c>
      <c r="AX26" s="315">
        <f>AW26/AU26</f>
        <v>0.43408275862068962</v>
      </c>
      <c r="AY26" s="335">
        <v>725</v>
      </c>
      <c r="AZ26" s="335">
        <f t="shared" si="15"/>
        <v>1983.84</v>
      </c>
      <c r="BA26" s="315">
        <f t="shared" si="16"/>
        <v>0.68408275862068968</v>
      </c>
      <c r="BB26" s="340">
        <v>2500</v>
      </c>
      <c r="BC26" s="434" t="s">
        <v>232</v>
      </c>
      <c r="BD26" s="440">
        <v>1297.8599999999999</v>
      </c>
      <c r="BE26" s="446">
        <v>0.52</v>
      </c>
      <c r="BF26" s="417">
        <f>'Natwest Expenses'!AB132</f>
        <v>3908.95</v>
      </c>
      <c r="BG26" s="428">
        <f>BF26/BB26</f>
        <v>1.56358</v>
      </c>
      <c r="BH26" s="476"/>
      <c r="BI26" s="476">
        <f t="shared" si="1"/>
        <v>1297.8599999999999</v>
      </c>
      <c r="BJ26" s="428">
        <f t="shared" si="2"/>
        <v>0.51914399999999994</v>
      </c>
      <c r="BK26" s="456">
        <v>500</v>
      </c>
      <c r="BL26" s="460" t="s">
        <v>307</v>
      </c>
      <c r="BM26" s="509">
        <v>1297.8599999999999</v>
      </c>
      <c r="BN26" s="508">
        <f t="shared" si="17"/>
        <v>0.51914399999999994</v>
      </c>
      <c r="BO26" s="1095">
        <v>500</v>
      </c>
      <c r="BP26" s="1223"/>
      <c r="BQ26" s="1090"/>
      <c r="BR26" s="1090"/>
      <c r="BS26" s="1090"/>
    </row>
    <row r="27" spans="1:79" ht="15.5" x14ac:dyDescent="0.35">
      <c r="A27" s="2" t="s">
        <v>26</v>
      </c>
      <c r="B27" s="9">
        <v>350</v>
      </c>
      <c r="C27" s="181"/>
      <c r="D27" s="177">
        <f t="shared" si="3"/>
        <v>0</v>
      </c>
      <c r="E27" s="6"/>
      <c r="F27" s="178">
        <f t="shared" si="4"/>
        <v>0</v>
      </c>
      <c r="G27" s="123">
        <v>300</v>
      </c>
      <c r="H27" s="106"/>
      <c r="I27" s="127">
        <v>350</v>
      </c>
      <c r="J27" s="96"/>
      <c r="K27" s="77">
        <f t="shared" si="5"/>
        <v>0</v>
      </c>
      <c r="L27" s="1195">
        <v>350</v>
      </c>
      <c r="M27" s="86">
        <v>300</v>
      </c>
      <c r="N27" s="88">
        <f t="shared" si="0"/>
        <v>0.8571428571428571</v>
      </c>
      <c r="O27" s="92">
        <v>300</v>
      </c>
      <c r="P27" s="93">
        <f t="shared" si="18"/>
        <v>0.8571428571428571</v>
      </c>
      <c r="Q27" s="179"/>
      <c r="R27" s="179"/>
      <c r="S27" s="127"/>
      <c r="T27" t="s">
        <v>27</v>
      </c>
      <c r="U27" s="113">
        <v>300</v>
      </c>
      <c r="V27" s="129">
        <f t="shared" si="6"/>
        <v>0.8571428571428571</v>
      </c>
      <c r="W27" s="117">
        <v>600</v>
      </c>
      <c r="X27" s="130">
        <f t="shared" si="7"/>
        <v>1.7142857142857142</v>
      </c>
      <c r="Y27" s="182"/>
      <c r="Z27" s="233">
        <v>350</v>
      </c>
      <c r="AA27" s="205"/>
      <c r="AB27" s="206">
        <f t="shared" si="8"/>
        <v>0</v>
      </c>
      <c r="AC27" s="226"/>
      <c r="AD27" s="229">
        <f t="shared" si="9"/>
        <v>0</v>
      </c>
      <c r="AE27" s="214">
        <v>350</v>
      </c>
      <c r="AF27" s="240">
        <f t="shared" si="10"/>
        <v>350</v>
      </c>
      <c r="AG27" s="242">
        <f t="shared" si="11"/>
        <v>1</v>
      </c>
      <c r="AH27" s="263"/>
      <c r="AI27" s="242">
        <f t="shared" si="12"/>
        <v>0</v>
      </c>
      <c r="AJ27" s="266">
        <v>350</v>
      </c>
      <c r="AK27" s="216"/>
      <c r="AL27" s="246"/>
      <c r="AM27" s="268"/>
      <c r="AN27" s="271"/>
      <c r="AO27" s="279"/>
      <c r="AP27" s="304"/>
      <c r="AQ27" s="305">
        <v>350</v>
      </c>
      <c r="AR27" s="303">
        <f t="shared" si="13"/>
        <v>350</v>
      </c>
      <c r="AS27" s="306">
        <f t="shared" si="14"/>
        <v>0</v>
      </c>
      <c r="AT27" s="271"/>
      <c r="AU27" s="266">
        <v>350</v>
      </c>
      <c r="AV27" s="278" t="s">
        <v>216</v>
      </c>
      <c r="AW27" s="293">
        <v>400</v>
      </c>
      <c r="AX27" s="315">
        <f>AW27/AU27</f>
        <v>1.1428571428571428</v>
      </c>
      <c r="AY27" s="335">
        <v>0</v>
      </c>
      <c r="AZ27" s="335">
        <f>AW27+AY27-50</f>
        <v>350</v>
      </c>
      <c r="BA27" s="315">
        <f t="shared" si="16"/>
        <v>1</v>
      </c>
      <c r="BB27" s="340">
        <v>500</v>
      </c>
      <c r="BC27" s="434" t="s">
        <v>251</v>
      </c>
      <c r="BD27" s="440">
        <v>0</v>
      </c>
      <c r="BE27" s="446">
        <v>0</v>
      </c>
      <c r="BF27" s="417"/>
      <c r="BG27" s="428">
        <f>BF27/BB27</f>
        <v>0</v>
      </c>
      <c r="BH27" s="476">
        <v>350</v>
      </c>
      <c r="BI27" s="476">
        <f t="shared" si="1"/>
        <v>350</v>
      </c>
      <c r="BJ27" s="428">
        <f t="shared" si="2"/>
        <v>0.7</v>
      </c>
      <c r="BK27" s="456">
        <v>400</v>
      </c>
      <c r="BM27" s="511">
        <v>0</v>
      </c>
      <c r="BN27" s="510">
        <f t="shared" si="17"/>
        <v>0</v>
      </c>
      <c r="BO27" s="1095">
        <v>400</v>
      </c>
      <c r="BP27" s="1223"/>
      <c r="BQ27" s="1090"/>
      <c r="BR27" s="1090"/>
      <c r="BS27" s="1090"/>
    </row>
    <row r="28" spans="1:79" ht="16.5" hidden="1" customHeight="1" x14ac:dyDescent="0.35">
      <c r="A28" s="341" t="s">
        <v>141</v>
      </c>
      <c r="B28" s="342">
        <v>100</v>
      </c>
      <c r="C28" s="343"/>
      <c r="D28" s="344">
        <f t="shared" si="3"/>
        <v>0</v>
      </c>
      <c r="E28" s="345">
        <v>78.5</v>
      </c>
      <c r="F28" s="346">
        <f t="shared" si="4"/>
        <v>0.78500000000000003</v>
      </c>
      <c r="G28" s="347">
        <f>E28</f>
        <v>78.5</v>
      </c>
      <c r="H28" s="348">
        <v>78.5</v>
      </c>
      <c r="I28" s="349">
        <v>60</v>
      </c>
      <c r="J28" s="350">
        <v>78.5</v>
      </c>
      <c r="K28" s="351">
        <f t="shared" si="5"/>
        <v>1.3083333333333333</v>
      </c>
      <c r="L28" s="1195">
        <v>60</v>
      </c>
      <c r="M28" s="352"/>
      <c r="N28" s="353"/>
      <c r="O28" s="354">
        <v>0</v>
      </c>
      <c r="P28" s="355">
        <f t="shared" si="18"/>
        <v>0</v>
      </c>
      <c r="Q28" s="356"/>
      <c r="R28" s="356"/>
      <c r="S28" s="349"/>
      <c r="T28" s="357"/>
      <c r="U28" s="358">
        <v>78.5</v>
      </c>
      <c r="V28" s="359">
        <f t="shared" si="6"/>
        <v>1.3083333333333333</v>
      </c>
      <c r="W28" s="360">
        <v>78.5</v>
      </c>
      <c r="X28" s="361">
        <f t="shared" si="7"/>
        <v>1.3083333333333333</v>
      </c>
      <c r="Y28" s="362"/>
      <c r="Z28" s="363">
        <v>82.43</v>
      </c>
      <c r="AA28" s="364"/>
      <c r="AB28" s="365">
        <f t="shared" si="8"/>
        <v>0</v>
      </c>
      <c r="AC28" s="366">
        <v>55</v>
      </c>
      <c r="AD28" s="367">
        <f t="shared" si="9"/>
        <v>0.66723280359092563</v>
      </c>
      <c r="AE28" s="368">
        <v>0</v>
      </c>
      <c r="AF28" s="369">
        <f t="shared" si="10"/>
        <v>55</v>
      </c>
      <c r="AG28" s="370">
        <f t="shared" si="11"/>
        <v>0.66723280359092563</v>
      </c>
      <c r="AH28" s="371"/>
      <c r="AI28" s="370">
        <f t="shared" si="12"/>
        <v>0</v>
      </c>
      <c r="AJ28" s="372"/>
      <c r="AK28" s="373" t="s">
        <v>153</v>
      </c>
      <c r="AL28" s="374">
        <v>55</v>
      </c>
      <c r="AM28" s="375">
        <v>55</v>
      </c>
      <c r="AN28" s="376"/>
      <c r="AO28" s="377"/>
      <c r="AP28" s="378"/>
      <c r="AQ28" s="379"/>
      <c r="AR28" s="380">
        <f t="shared" si="13"/>
        <v>0</v>
      </c>
      <c r="AS28" s="381"/>
      <c r="AT28" s="376"/>
      <c r="AU28" s="266"/>
      <c r="AV28" s="382" t="s">
        <v>210</v>
      </c>
      <c r="AW28" s="383"/>
      <c r="AX28" s="384"/>
      <c r="AY28" s="385"/>
      <c r="AZ28" s="385">
        <f t="shared" si="15"/>
        <v>0</v>
      </c>
      <c r="BA28" s="384"/>
      <c r="BB28" s="386"/>
      <c r="BC28" s="434"/>
      <c r="BD28" s="440"/>
      <c r="BE28" s="446"/>
      <c r="BF28" s="417"/>
      <c r="BG28" s="428"/>
      <c r="BH28" s="476"/>
      <c r="BI28" s="476">
        <f t="shared" si="1"/>
        <v>0</v>
      </c>
      <c r="BJ28" s="428" t="e">
        <f t="shared" si="2"/>
        <v>#DIV/0!</v>
      </c>
      <c r="BK28" s="456"/>
      <c r="BM28" s="511"/>
      <c r="BN28" s="508" t="e">
        <f t="shared" si="17"/>
        <v>#DIV/0!</v>
      </c>
      <c r="BO28" s="1095"/>
      <c r="BP28" s="1223"/>
      <c r="BQ28" s="1090"/>
      <c r="BR28" s="1090"/>
      <c r="BS28" s="1090"/>
      <c r="BU28" s="260"/>
      <c r="BV28" s="261"/>
      <c r="BW28" s="210"/>
      <c r="BX28" s="4"/>
      <c r="BY28" s="2"/>
      <c r="BZ28" s="111"/>
    </row>
    <row r="29" spans="1:79" ht="15.5" hidden="1" x14ac:dyDescent="0.35">
      <c r="A29" s="341" t="s">
        <v>28</v>
      </c>
      <c r="B29" s="342">
        <v>2250</v>
      </c>
      <c r="C29" s="343"/>
      <c r="D29" s="344">
        <f t="shared" si="3"/>
        <v>0</v>
      </c>
      <c r="E29" s="345">
        <v>620</v>
      </c>
      <c r="F29" s="346">
        <f t="shared" si="4"/>
        <v>0.27555555555555555</v>
      </c>
      <c r="G29" s="347">
        <f>E29</f>
        <v>620</v>
      </c>
      <c r="H29" s="348">
        <v>620</v>
      </c>
      <c r="I29" s="349">
        <v>1000</v>
      </c>
      <c r="J29" s="350">
        <v>620</v>
      </c>
      <c r="K29" s="351">
        <f t="shared" si="5"/>
        <v>0.62</v>
      </c>
      <c r="L29" s="1195">
        <v>1000</v>
      </c>
      <c r="M29" s="352"/>
      <c r="N29" s="353">
        <f>M29/L29</f>
        <v>0</v>
      </c>
      <c r="O29" s="354">
        <v>28.32</v>
      </c>
      <c r="P29" s="355">
        <f t="shared" si="18"/>
        <v>2.8320000000000001E-2</v>
      </c>
      <c r="Q29" s="356"/>
      <c r="R29" s="356"/>
      <c r="S29" s="349"/>
      <c r="T29" s="357"/>
      <c r="U29" s="358">
        <v>28.32</v>
      </c>
      <c r="V29" s="359">
        <f t="shared" si="6"/>
        <v>2.8320000000000001E-2</v>
      </c>
      <c r="W29" s="360">
        <v>28.32</v>
      </c>
      <c r="X29" s="361">
        <f t="shared" si="7"/>
        <v>2.8320000000000001E-2</v>
      </c>
      <c r="Y29" s="362"/>
      <c r="Z29" s="363">
        <v>1000</v>
      </c>
      <c r="AA29" s="364">
        <v>37</v>
      </c>
      <c r="AB29" s="365">
        <f t="shared" si="8"/>
        <v>3.6999999999999998E-2</v>
      </c>
      <c r="AC29" s="366">
        <v>42.5</v>
      </c>
      <c r="AD29" s="367">
        <f t="shared" si="9"/>
        <v>4.2500000000000003E-2</v>
      </c>
      <c r="AE29" s="368"/>
      <c r="AF29" s="369">
        <f t="shared" si="10"/>
        <v>42.5</v>
      </c>
      <c r="AG29" s="370">
        <f t="shared" si="11"/>
        <v>4.2500000000000003E-2</v>
      </c>
      <c r="AH29" s="371">
        <v>115.5</v>
      </c>
      <c r="AI29" s="370">
        <f t="shared" si="12"/>
        <v>0.11550000000000001</v>
      </c>
      <c r="AJ29" s="372"/>
      <c r="AK29" s="373" t="s">
        <v>153</v>
      </c>
      <c r="AL29" s="374">
        <v>1000</v>
      </c>
      <c r="AM29" s="375">
        <v>42.5</v>
      </c>
      <c r="AN29" s="376"/>
      <c r="AO29" s="377"/>
      <c r="AP29" s="378"/>
      <c r="AQ29" s="379"/>
      <c r="AR29" s="380">
        <f t="shared" si="13"/>
        <v>0</v>
      </c>
      <c r="AS29" s="381"/>
      <c r="AT29" s="376"/>
      <c r="AU29" s="266"/>
      <c r="AV29" s="382" t="s">
        <v>210</v>
      </c>
      <c r="AW29" s="383"/>
      <c r="AX29" s="384"/>
      <c r="AY29" s="385"/>
      <c r="AZ29" s="385">
        <f t="shared" si="15"/>
        <v>0</v>
      </c>
      <c r="BA29" s="384"/>
      <c r="BB29" s="386"/>
      <c r="BC29" s="434"/>
      <c r="BD29" s="440"/>
      <c r="BE29" s="446"/>
      <c r="BF29" s="417"/>
      <c r="BG29" s="428"/>
      <c r="BH29" s="476"/>
      <c r="BI29" s="476">
        <f t="shared" si="1"/>
        <v>0</v>
      </c>
      <c r="BJ29" s="428" t="e">
        <f t="shared" si="2"/>
        <v>#DIV/0!</v>
      </c>
      <c r="BK29" s="456"/>
      <c r="BM29" s="511"/>
      <c r="BN29" s="510" t="e">
        <f t="shared" si="17"/>
        <v>#DIV/0!</v>
      </c>
      <c r="BO29" s="1095"/>
      <c r="BP29" s="1223"/>
      <c r="BQ29" s="1090"/>
      <c r="BR29" s="1090"/>
      <c r="BS29" s="1090"/>
      <c r="BU29" s="7"/>
      <c r="BV29" s="7"/>
      <c r="BW29" s="7"/>
      <c r="BX29" s="327"/>
      <c r="BY29" s="2"/>
      <c r="BZ29" s="144"/>
      <c r="CA29" s="312"/>
    </row>
    <row r="30" spans="1:79" ht="15.5" hidden="1" x14ac:dyDescent="0.35">
      <c r="A30" s="341" t="s">
        <v>101</v>
      </c>
      <c r="B30" s="342"/>
      <c r="C30" s="343"/>
      <c r="D30" s="344"/>
      <c r="E30" s="345"/>
      <c r="F30" s="346"/>
      <c r="G30" s="347"/>
      <c r="H30" s="348"/>
      <c r="I30" s="349"/>
      <c r="J30" s="350"/>
      <c r="K30" s="351"/>
      <c r="L30" s="1195"/>
      <c r="M30" s="352"/>
      <c r="N30" s="387"/>
      <c r="O30" s="354">
        <v>0</v>
      </c>
      <c r="P30" s="355"/>
      <c r="Q30" s="388">
        <v>9700.5</v>
      </c>
      <c r="R30" s="388" t="s">
        <v>108</v>
      </c>
      <c r="S30" s="349"/>
      <c r="T30" s="357"/>
      <c r="U30" s="358"/>
      <c r="V30" s="359"/>
      <c r="W30" s="360">
        <v>0</v>
      </c>
      <c r="X30" s="361"/>
      <c r="Y30" s="362"/>
      <c r="Z30" s="363"/>
      <c r="AA30" s="364"/>
      <c r="AB30" s="365"/>
      <c r="AC30" s="366"/>
      <c r="AD30" s="367"/>
      <c r="AE30" s="368">
        <v>7000</v>
      </c>
      <c r="AF30" s="369">
        <f t="shared" si="10"/>
        <v>7000</v>
      </c>
      <c r="AG30" s="370"/>
      <c r="AH30" s="371"/>
      <c r="AI30" s="370"/>
      <c r="AJ30" s="372"/>
      <c r="AK30" s="373" t="s">
        <v>148</v>
      </c>
      <c r="AL30" s="374"/>
      <c r="AM30" s="375"/>
      <c r="AN30" s="376"/>
      <c r="AO30" s="377"/>
      <c r="AP30" s="378"/>
      <c r="AQ30" s="379"/>
      <c r="AR30" s="380">
        <f t="shared" si="13"/>
        <v>0</v>
      </c>
      <c r="AS30" s="381"/>
      <c r="AT30" s="376"/>
      <c r="AU30" s="266"/>
      <c r="AV30" s="382" t="s">
        <v>210</v>
      </c>
      <c r="AW30" s="383"/>
      <c r="AX30" s="384"/>
      <c r="AY30" s="385"/>
      <c r="AZ30" s="385">
        <f t="shared" si="15"/>
        <v>0</v>
      </c>
      <c r="BA30" s="384"/>
      <c r="BB30" s="386"/>
      <c r="BC30" s="434"/>
      <c r="BD30" s="440"/>
      <c r="BE30" s="446"/>
      <c r="BF30" s="417"/>
      <c r="BG30" s="428"/>
      <c r="BH30" s="476"/>
      <c r="BI30" s="476">
        <f t="shared" si="1"/>
        <v>0</v>
      </c>
      <c r="BJ30" s="428" t="e">
        <f t="shared" si="2"/>
        <v>#DIV/0!</v>
      </c>
      <c r="BK30" s="456"/>
      <c r="BM30" s="511"/>
      <c r="BN30" s="508" t="e">
        <f t="shared" si="17"/>
        <v>#DIV/0!</v>
      </c>
      <c r="BO30" s="1095"/>
      <c r="BP30" s="1223"/>
      <c r="BQ30" s="1090"/>
      <c r="BR30" s="1090"/>
      <c r="BS30" s="1090"/>
    </row>
    <row r="31" spans="1:79" ht="15.5" hidden="1" x14ac:dyDescent="0.35">
      <c r="A31" s="341" t="s">
        <v>29</v>
      </c>
      <c r="B31" s="342">
        <v>6500</v>
      </c>
      <c r="C31" s="343"/>
      <c r="D31" s="344">
        <f t="shared" si="3"/>
        <v>0</v>
      </c>
      <c r="E31" s="345">
        <v>4678.8100000000004</v>
      </c>
      <c r="F31" s="346">
        <f t="shared" si="4"/>
        <v>0.71981692307692313</v>
      </c>
      <c r="G31" s="347">
        <f>E31</f>
        <v>4678.8100000000004</v>
      </c>
      <c r="H31" s="348">
        <v>4738.8100000000004</v>
      </c>
      <c r="I31" s="349">
        <v>1000</v>
      </c>
      <c r="J31" s="350">
        <v>4738.8100000000004</v>
      </c>
      <c r="K31" s="351">
        <f t="shared" si="5"/>
        <v>4.73881</v>
      </c>
      <c r="L31" s="1195">
        <v>1000</v>
      </c>
      <c r="M31" s="352"/>
      <c r="N31" s="353">
        <f>M31/L31</f>
        <v>0</v>
      </c>
      <c r="O31" s="354">
        <v>1405.12</v>
      </c>
      <c r="P31" s="355">
        <f t="shared" si="18"/>
        <v>1.4051199999999999</v>
      </c>
      <c r="Q31" s="356" t="s">
        <v>116</v>
      </c>
      <c r="R31" s="356"/>
      <c r="S31" s="349"/>
      <c r="T31" s="357" t="s">
        <v>30</v>
      </c>
      <c r="U31" s="358"/>
      <c r="V31" s="359">
        <f t="shared" si="6"/>
        <v>0</v>
      </c>
      <c r="W31" s="360">
        <v>280</v>
      </c>
      <c r="X31" s="361">
        <f t="shared" si="7"/>
        <v>0.28000000000000003</v>
      </c>
      <c r="Y31" s="362"/>
      <c r="Z31" s="363">
        <v>500</v>
      </c>
      <c r="AA31" s="364"/>
      <c r="AB31" s="365">
        <f t="shared" si="8"/>
        <v>0</v>
      </c>
      <c r="AC31" s="366"/>
      <c r="AD31" s="367">
        <f t="shared" si="9"/>
        <v>0</v>
      </c>
      <c r="AE31" s="368"/>
      <c r="AF31" s="369">
        <f t="shared" si="10"/>
        <v>0</v>
      </c>
      <c r="AG31" s="370">
        <f t="shared" si="11"/>
        <v>0</v>
      </c>
      <c r="AH31" s="371"/>
      <c r="AI31" s="370">
        <f t="shared" si="12"/>
        <v>0</v>
      </c>
      <c r="AJ31" s="372"/>
      <c r="AK31" s="373" t="s">
        <v>153</v>
      </c>
      <c r="AL31" s="374">
        <v>2000</v>
      </c>
      <c r="AM31" s="375"/>
      <c r="AN31" s="376"/>
      <c r="AO31" s="377"/>
      <c r="AP31" s="378"/>
      <c r="AQ31" s="379"/>
      <c r="AR31" s="380">
        <f t="shared" si="13"/>
        <v>0</v>
      </c>
      <c r="AS31" s="381"/>
      <c r="AT31" s="376"/>
      <c r="AU31" s="266"/>
      <c r="AV31" s="382" t="s">
        <v>210</v>
      </c>
      <c r="AW31" s="383"/>
      <c r="AX31" s="384"/>
      <c r="AY31" s="385"/>
      <c r="AZ31" s="385">
        <f t="shared" si="15"/>
        <v>0</v>
      </c>
      <c r="BA31" s="384"/>
      <c r="BB31" s="386"/>
      <c r="BC31" s="434"/>
      <c r="BD31" s="440"/>
      <c r="BE31" s="446"/>
      <c r="BF31" s="417"/>
      <c r="BG31" s="428"/>
      <c r="BH31" s="476"/>
      <c r="BI31" s="476">
        <f t="shared" si="1"/>
        <v>0</v>
      </c>
      <c r="BJ31" s="428" t="e">
        <f t="shared" si="2"/>
        <v>#DIV/0!</v>
      </c>
      <c r="BK31" s="456"/>
      <c r="BM31" s="511"/>
      <c r="BN31" s="510" t="e">
        <f t="shared" si="17"/>
        <v>#DIV/0!</v>
      </c>
      <c r="BO31" s="1095"/>
      <c r="BP31" s="1223"/>
      <c r="BQ31" s="1090"/>
      <c r="BR31" s="1090"/>
      <c r="BS31" s="1090"/>
    </row>
    <row r="32" spans="1:79" ht="15.5" hidden="1" x14ac:dyDescent="0.35">
      <c r="A32" s="341" t="s">
        <v>31</v>
      </c>
      <c r="B32" s="342">
        <v>0</v>
      </c>
      <c r="C32" s="343"/>
      <c r="D32" s="344"/>
      <c r="E32" s="345"/>
      <c r="F32" s="346"/>
      <c r="G32" s="347"/>
      <c r="H32" s="348"/>
      <c r="I32" s="349"/>
      <c r="J32" s="350"/>
      <c r="K32" s="351"/>
      <c r="L32" s="1195"/>
      <c r="M32" s="352"/>
      <c r="N32" s="387"/>
      <c r="O32" s="354"/>
      <c r="P32" s="355"/>
      <c r="Q32" s="388"/>
      <c r="R32" s="388"/>
      <c r="S32" s="349"/>
      <c r="T32" s="349"/>
      <c r="U32" s="358"/>
      <c r="V32" s="359"/>
      <c r="W32" s="360"/>
      <c r="X32" s="361"/>
      <c r="Y32" s="362"/>
      <c r="Z32" s="363"/>
      <c r="AA32" s="364"/>
      <c r="AB32" s="365"/>
      <c r="AC32" s="366"/>
      <c r="AD32" s="367"/>
      <c r="AE32" s="368"/>
      <c r="AF32" s="369">
        <f t="shared" si="10"/>
        <v>0</v>
      </c>
      <c r="AG32" s="370"/>
      <c r="AH32" s="371"/>
      <c r="AI32" s="370"/>
      <c r="AJ32" s="372">
        <v>0</v>
      </c>
      <c r="AK32" s="373"/>
      <c r="AL32" s="374"/>
      <c r="AM32" s="375"/>
      <c r="AN32" s="376"/>
      <c r="AO32" s="377"/>
      <c r="AP32" s="378"/>
      <c r="AQ32" s="379"/>
      <c r="AR32" s="380">
        <f t="shared" si="13"/>
        <v>0</v>
      </c>
      <c r="AS32" s="381"/>
      <c r="AT32" s="376"/>
      <c r="AU32" s="266">
        <v>0</v>
      </c>
      <c r="AV32" s="382" t="s">
        <v>210</v>
      </c>
      <c r="AW32" s="383"/>
      <c r="AX32" s="384"/>
      <c r="AY32" s="385"/>
      <c r="AZ32" s="385">
        <f t="shared" si="15"/>
        <v>0</v>
      </c>
      <c r="BA32" s="384"/>
      <c r="BB32" s="386"/>
      <c r="BC32" s="434"/>
      <c r="BD32" s="440"/>
      <c r="BE32" s="446"/>
      <c r="BF32" s="417"/>
      <c r="BG32" s="428"/>
      <c r="BH32" s="476"/>
      <c r="BI32" s="476">
        <f t="shared" si="1"/>
        <v>0</v>
      </c>
      <c r="BJ32" s="428" t="e">
        <f t="shared" si="2"/>
        <v>#DIV/0!</v>
      </c>
      <c r="BK32" s="456"/>
      <c r="BM32" s="511"/>
      <c r="BN32" s="508" t="e">
        <f t="shared" si="17"/>
        <v>#DIV/0!</v>
      </c>
      <c r="BO32" s="1095"/>
      <c r="BP32" s="1223"/>
      <c r="BQ32" s="1090"/>
      <c r="BR32" s="1090"/>
      <c r="BS32" s="1090"/>
    </row>
    <row r="33" spans="1:71" ht="15.5" hidden="1" x14ac:dyDescent="0.35">
      <c r="A33" s="341" t="s">
        <v>32</v>
      </c>
      <c r="B33" s="342">
        <v>200</v>
      </c>
      <c r="C33" s="343">
        <v>88.58</v>
      </c>
      <c r="D33" s="344">
        <f t="shared" si="3"/>
        <v>0.44290000000000002</v>
      </c>
      <c r="E33" s="345">
        <v>220.97</v>
      </c>
      <c r="F33" s="346">
        <f t="shared" si="4"/>
        <v>1.1048499999999999</v>
      </c>
      <c r="G33" s="347">
        <f>E33/10*12</f>
        <v>265.16399999999999</v>
      </c>
      <c r="H33" s="348">
        <v>220.97</v>
      </c>
      <c r="I33" s="349">
        <v>300</v>
      </c>
      <c r="J33" s="350">
        <v>320.61</v>
      </c>
      <c r="K33" s="351">
        <f t="shared" si="5"/>
        <v>1.0687</v>
      </c>
      <c r="L33" s="1195">
        <v>300</v>
      </c>
      <c r="M33" s="352">
        <v>39.450000000000003</v>
      </c>
      <c r="N33" s="353">
        <f>M33/L33</f>
        <v>0.13150000000000001</v>
      </c>
      <c r="O33" s="354">
        <v>153.19999999999999</v>
      </c>
      <c r="P33" s="355">
        <f t="shared" si="18"/>
        <v>0.5106666666666666</v>
      </c>
      <c r="Q33" s="356"/>
      <c r="R33" s="356"/>
      <c r="S33" s="349"/>
      <c r="T33" s="349"/>
      <c r="U33" s="358">
        <v>153.19999999999999</v>
      </c>
      <c r="V33" s="359">
        <f t="shared" si="6"/>
        <v>0.5106666666666666</v>
      </c>
      <c r="W33" s="360">
        <v>436.05</v>
      </c>
      <c r="X33" s="361">
        <f t="shared" si="7"/>
        <v>1.4535</v>
      </c>
      <c r="Y33" s="362">
        <v>100</v>
      </c>
      <c r="Z33" s="363">
        <v>300</v>
      </c>
      <c r="AA33" s="364">
        <v>124.19</v>
      </c>
      <c r="AB33" s="365">
        <f t="shared" si="8"/>
        <v>0.41396666666666665</v>
      </c>
      <c r="AC33" s="366">
        <v>277.27999999999997</v>
      </c>
      <c r="AD33" s="367">
        <f t="shared" si="9"/>
        <v>0.92426666666666657</v>
      </c>
      <c r="AE33" s="368">
        <v>320</v>
      </c>
      <c r="AF33" s="369">
        <f t="shared" si="10"/>
        <v>597.28</v>
      </c>
      <c r="AG33" s="370">
        <f t="shared" si="11"/>
        <v>1.9909333333333332</v>
      </c>
      <c r="AH33" s="371">
        <v>525.97</v>
      </c>
      <c r="AI33" s="370">
        <f t="shared" si="12"/>
        <v>1.7532333333333334</v>
      </c>
      <c r="AJ33" s="372"/>
      <c r="AK33" s="373" t="s">
        <v>149</v>
      </c>
      <c r="AL33" s="374">
        <v>1000</v>
      </c>
      <c r="AM33" s="375">
        <v>597.28</v>
      </c>
      <c r="AN33" s="376"/>
      <c r="AO33" s="377"/>
      <c r="AP33" s="378"/>
      <c r="AQ33" s="379"/>
      <c r="AR33" s="380">
        <f t="shared" si="13"/>
        <v>0</v>
      </c>
      <c r="AS33" s="381"/>
      <c r="AT33" s="376"/>
      <c r="AU33" s="266"/>
      <c r="AV33" s="382" t="s">
        <v>210</v>
      </c>
      <c r="AW33" s="383"/>
      <c r="AX33" s="384"/>
      <c r="AY33" s="385"/>
      <c r="AZ33" s="385">
        <f t="shared" si="15"/>
        <v>0</v>
      </c>
      <c r="BA33" s="384"/>
      <c r="BB33" s="386"/>
      <c r="BC33" s="434"/>
      <c r="BD33" s="440"/>
      <c r="BE33" s="446"/>
      <c r="BF33" s="417"/>
      <c r="BG33" s="428"/>
      <c r="BH33" s="476"/>
      <c r="BI33" s="476">
        <f t="shared" si="1"/>
        <v>0</v>
      </c>
      <c r="BJ33" s="428" t="e">
        <f t="shared" si="2"/>
        <v>#DIV/0!</v>
      </c>
      <c r="BK33" s="456"/>
      <c r="BM33" s="511"/>
      <c r="BN33" s="510" t="e">
        <f t="shared" si="17"/>
        <v>#DIV/0!</v>
      </c>
      <c r="BO33" s="1095"/>
      <c r="BP33" s="1223"/>
      <c r="BQ33" s="1090"/>
      <c r="BR33" s="1090"/>
      <c r="BS33" s="1090"/>
    </row>
    <row r="34" spans="1:71" ht="15.5" hidden="1" x14ac:dyDescent="0.35">
      <c r="A34" s="341" t="s">
        <v>33</v>
      </c>
      <c r="B34" s="342">
        <v>100</v>
      </c>
      <c r="C34" s="343"/>
      <c r="D34" s="344">
        <f t="shared" si="3"/>
        <v>0</v>
      </c>
      <c r="E34" s="345">
        <v>17.29</v>
      </c>
      <c r="F34" s="346">
        <f t="shared" si="4"/>
        <v>0.1729</v>
      </c>
      <c r="G34" s="347">
        <f>E34/10*12</f>
        <v>20.747999999999998</v>
      </c>
      <c r="H34" s="348">
        <v>44.59</v>
      </c>
      <c r="I34" s="349">
        <v>100</v>
      </c>
      <c r="J34" s="350">
        <v>44.59</v>
      </c>
      <c r="K34" s="351">
        <f t="shared" si="5"/>
        <v>0.44590000000000002</v>
      </c>
      <c r="L34" s="1195">
        <v>100</v>
      </c>
      <c r="M34" s="352"/>
      <c r="N34" s="353"/>
      <c r="O34" s="354">
        <v>26.57</v>
      </c>
      <c r="P34" s="355">
        <f t="shared" si="18"/>
        <v>0.26569999999999999</v>
      </c>
      <c r="Q34" s="356"/>
      <c r="R34" s="356"/>
      <c r="S34" s="349"/>
      <c r="T34" s="349"/>
      <c r="U34" s="358">
        <v>26.57</v>
      </c>
      <c r="V34" s="359">
        <f t="shared" si="6"/>
        <v>0.26569999999999999</v>
      </c>
      <c r="W34" s="360">
        <v>44.68</v>
      </c>
      <c r="X34" s="361">
        <f t="shared" si="7"/>
        <v>0.44679999999999997</v>
      </c>
      <c r="Y34" s="362">
        <v>30</v>
      </c>
      <c r="Z34" s="363">
        <v>75</v>
      </c>
      <c r="AA34" s="364"/>
      <c r="AB34" s="365">
        <f t="shared" si="8"/>
        <v>0</v>
      </c>
      <c r="AC34" s="366">
        <v>24.93</v>
      </c>
      <c r="AD34" s="367">
        <f t="shared" si="9"/>
        <v>0.33239999999999997</v>
      </c>
      <c r="AE34" s="368">
        <v>50</v>
      </c>
      <c r="AF34" s="369">
        <f t="shared" si="10"/>
        <v>74.930000000000007</v>
      </c>
      <c r="AG34" s="370">
        <f t="shared" si="11"/>
        <v>0.99906666666666677</v>
      </c>
      <c r="AH34" s="371">
        <v>24.93</v>
      </c>
      <c r="AI34" s="370">
        <f t="shared" si="12"/>
        <v>0.33239999999999997</v>
      </c>
      <c r="AJ34" s="372"/>
      <c r="AK34" s="373"/>
      <c r="AL34" s="374">
        <v>150</v>
      </c>
      <c r="AM34" s="375">
        <v>74.930000000000007</v>
      </c>
      <c r="AN34" s="376"/>
      <c r="AO34" s="377"/>
      <c r="AP34" s="378"/>
      <c r="AQ34" s="379"/>
      <c r="AR34" s="380">
        <f t="shared" si="13"/>
        <v>0</v>
      </c>
      <c r="AS34" s="381"/>
      <c r="AT34" s="376"/>
      <c r="AU34" s="266"/>
      <c r="AV34" s="382" t="s">
        <v>210</v>
      </c>
      <c r="AW34" s="383"/>
      <c r="AX34" s="384"/>
      <c r="AY34" s="385"/>
      <c r="AZ34" s="385">
        <f t="shared" si="15"/>
        <v>0</v>
      </c>
      <c r="BA34" s="384"/>
      <c r="BB34" s="386"/>
      <c r="BC34" s="434"/>
      <c r="BD34" s="440"/>
      <c r="BE34" s="446"/>
      <c r="BF34" s="417"/>
      <c r="BG34" s="428"/>
      <c r="BH34" s="476"/>
      <c r="BI34" s="476">
        <f t="shared" si="1"/>
        <v>0</v>
      </c>
      <c r="BJ34" s="428" t="e">
        <f t="shared" si="2"/>
        <v>#DIV/0!</v>
      </c>
      <c r="BK34" s="456"/>
      <c r="BM34" s="511"/>
      <c r="BN34" s="508" t="e">
        <f t="shared" si="17"/>
        <v>#DIV/0!</v>
      </c>
      <c r="BO34" s="1095"/>
      <c r="BP34" s="1223"/>
      <c r="BQ34" s="1090"/>
      <c r="BR34" s="1090"/>
      <c r="BS34" s="1090"/>
    </row>
    <row r="35" spans="1:71" ht="15.5" x14ac:dyDescent="0.35">
      <c r="A35" s="2" t="s">
        <v>34</v>
      </c>
      <c r="B35" s="9">
        <v>2500</v>
      </c>
      <c r="C35" s="181">
        <v>503.2</v>
      </c>
      <c r="D35" s="177">
        <f t="shared" si="3"/>
        <v>0.20127999999999999</v>
      </c>
      <c r="E35" s="6">
        <v>2138.6</v>
      </c>
      <c r="F35" s="178">
        <f t="shared" si="4"/>
        <v>0.85543999999999998</v>
      </c>
      <c r="G35" s="123">
        <f>E35/10*12</f>
        <v>2566.3199999999997</v>
      </c>
      <c r="H35" s="106">
        <v>2893.4</v>
      </c>
      <c r="I35" s="127">
        <v>3000</v>
      </c>
      <c r="J35" s="96">
        <v>3270.8</v>
      </c>
      <c r="K35" s="77">
        <f t="shared" si="5"/>
        <v>1.0902666666666667</v>
      </c>
      <c r="L35" s="1195">
        <v>3000</v>
      </c>
      <c r="M35" s="86">
        <v>251.6</v>
      </c>
      <c r="N35" s="88">
        <f>M35/L35</f>
        <v>8.3866666666666659E-2</v>
      </c>
      <c r="O35" s="92">
        <v>629</v>
      </c>
      <c r="P35" s="93">
        <f t="shared" si="18"/>
        <v>0.20966666666666667</v>
      </c>
      <c r="Q35" s="179"/>
      <c r="R35" s="179"/>
      <c r="S35" s="127"/>
      <c r="T35" s="127"/>
      <c r="U35" s="113">
        <v>1509.6</v>
      </c>
      <c r="V35" s="129">
        <f t="shared" si="6"/>
        <v>0.50319999999999998</v>
      </c>
      <c r="W35" s="117">
        <v>2138.6</v>
      </c>
      <c r="X35" s="130">
        <f t="shared" si="7"/>
        <v>0.71286666666666665</v>
      </c>
      <c r="Y35" s="182">
        <v>1509.6</v>
      </c>
      <c r="Z35" s="233">
        <v>3150</v>
      </c>
      <c r="AA35" s="205">
        <v>754.8</v>
      </c>
      <c r="AB35" s="206">
        <f t="shared" si="8"/>
        <v>0.23961904761904759</v>
      </c>
      <c r="AC35" s="226">
        <v>2138.6</v>
      </c>
      <c r="AD35" s="229">
        <f t="shared" si="9"/>
        <v>0.67892063492063492</v>
      </c>
      <c r="AE35" s="214">
        <v>1509.6</v>
      </c>
      <c r="AF35" s="240">
        <f t="shared" si="10"/>
        <v>3648.2</v>
      </c>
      <c r="AG35" s="242">
        <f t="shared" si="11"/>
        <v>1.1581587301587302</v>
      </c>
      <c r="AH35" s="263">
        <v>3372.8</v>
      </c>
      <c r="AI35" s="242">
        <f t="shared" si="12"/>
        <v>1.0707301587301588</v>
      </c>
      <c r="AJ35" s="266">
        <v>3700</v>
      </c>
      <c r="AK35" s="216"/>
      <c r="AL35" s="246"/>
      <c r="AM35" s="268"/>
      <c r="AN35" s="271">
        <v>2077.5500000000002</v>
      </c>
      <c r="AO35" s="279">
        <v>2625.15</v>
      </c>
      <c r="AP35" s="304">
        <v>2762.05</v>
      </c>
      <c r="AQ35" s="305">
        <f>AO35/9*3</f>
        <v>875.05</v>
      </c>
      <c r="AR35" s="303">
        <f t="shared" si="13"/>
        <v>3500.2</v>
      </c>
      <c r="AS35" s="306">
        <f t="shared" si="14"/>
        <v>0.74650000000000005</v>
      </c>
      <c r="AT35" s="271"/>
      <c r="AU35" s="266">
        <v>2597</v>
      </c>
      <c r="AV35" s="278" t="s">
        <v>217</v>
      </c>
      <c r="AW35" s="293">
        <v>1983.2</v>
      </c>
      <c r="AX35" s="315">
        <f>AW35/AU35</f>
        <v>0.76365036580670009</v>
      </c>
      <c r="AY35" s="335">
        <f>186.48*6</f>
        <v>1118.8799999999999</v>
      </c>
      <c r="AZ35" s="335">
        <f t="shared" si="15"/>
        <v>3102.08</v>
      </c>
      <c r="BA35" s="315">
        <f t="shared" si="16"/>
        <v>1.1944859453215249</v>
      </c>
      <c r="BB35" s="340">
        <v>2386.5</v>
      </c>
      <c r="BC35" s="434" t="s">
        <v>252</v>
      </c>
      <c r="BD35" s="440">
        <v>1472.66</v>
      </c>
      <c r="BE35" s="446">
        <v>0.62</v>
      </c>
      <c r="BF35" s="417">
        <f>'Natwest Expenses'!AC132</f>
        <v>1378.2</v>
      </c>
      <c r="BG35" s="428">
        <f>BF35/BB35</f>
        <v>0.57749842866121937</v>
      </c>
      <c r="BH35" s="476">
        <f>BD35/9*3</f>
        <v>490.88666666666666</v>
      </c>
      <c r="BI35" s="476">
        <f t="shared" si="1"/>
        <v>1963.5466666666666</v>
      </c>
      <c r="BJ35" s="428">
        <f t="shared" si="2"/>
        <v>0.8227725399818423</v>
      </c>
      <c r="BK35" s="456">
        <v>3000</v>
      </c>
      <c r="BL35" s="462" t="s">
        <v>334</v>
      </c>
      <c r="BM35" s="511">
        <v>1987.45</v>
      </c>
      <c r="BN35" s="510">
        <f t="shared" si="17"/>
        <v>0.83278860255604448</v>
      </c>
      <c r="BO35" s="1095">
        <v>3000</v>
      </c>
      <c r="BP35" s="1223">
        <v>1938.23</v>
      </c>
      <c r="BQ35" s="1090"/>
      <c r="BR35" s="1090"/>
      <c r="BS35" s="1090"/>
    </row>
    <row r="36" spans="1:71" ht="22" x14ac:dyDescent="0.35">
      <c r="A36" s="2" t="s">
        <v>218</v>
      </c>
      <c r="B36" s="9">
        <v>1850</v>
      </c>
      <c r="C36" s="181">
        <v>466</v>
      </c>
      <c r="D36" s="177">
        <f t="shared" si="3"/>
        <v>0.25189189189189187</v>
      </c>
      <c r="E36" s="6">
        <v>1044.5</v>
      </c>
      <c r="F36" s="178">
        <f t="shared" si="4"/>
        <v>0.5645945945945946</v>
      </c>
      <c r="G36" s="123">
        <f>E36+E36*50/100</f>
        <v>1566.75</v>
      </c>
      <c r="H36" s="106">
        <v>1044.5</v>
      </c>
      <c r="I36" s="127">
        <v>2200</v>
      </c>
      <c r="J36" s="96">
        <v>1044.5</v>
      </c>
      <c r="K36" s="77">
        <f t="shared" si="5"/>
        <v>0.47477272727272729</v>
      </c>
      <c r="L36" s="1195">
        <v>2200</v>
      </c>
      <c r="M36" s="86"/>
      <c r="N36" s="88"/>
      <c r="O36" s="92">
        <v>0</v>
      </c>
      <c r="P36" s="93">
        <f t="shared" si="18"/>
        <v>0</v>
      </c>
      <c r="Q36" s="179"/>
      <c r="R36" s="179"/>
      <c r="S36" s="127"/>
      <c r="T36" s="127"/>
      <c r="U36" s="113">
        <v>1732</v>
      </c>
      <c r="V36" s="129">
        <f t="shared" si="6"/>
        <v>0.78727272727272724</v>
      </c>
      <c r="W36" s="117">
        <v>1907</v>
      </c>
      <c r="X36" s="130">
        <f t="shared" si="7"/>
        <v>0.86681818181818182</v>
      </c>
      <c r="Y36" s="182" t="s">
        <v>122</v>
      </c>
      <c r="Z36" s="233">
        <v>2500</v>
      </c>
      <c r="AA36" s="205">
        <v>936</v>
      </c>
      <c r="AB36" s="206">
        <f t="shared" si="8"/>
        <v>0.37440000000000001</v>
      </c>
      <c r="AC36" s="226">
        <v>936</v>
      </c>
      <c r="AD36" s="229">
        <f t="shared" si="9"/>
        <v>0.37440000000000001</v>
      </c>
      <c r="AE36" s="214">
        <v>936</v>
      </c>
      <c r="AF36" s="240">
        <f t="shared" si="10"/>
        <v>1872</v>
      </c>
      <c r="AG36" s="242">
        <f t="shared" si="11"/>
        <v>0.74880000000000002</v>
      </c>
      <c r="AH36" s="263">
        <v>936</v>
      </c>
      <c r="AI36" s="242">
        <f t="shared" si="12"/>
        <v>0.37440000000000001</v>
      </c>
      <c r="AJ36" s="266">
        <v>1800</v>
      </c>
      <c r="AK36" s="216" t="s">
        <v>150</v>
      </c>
      <c r="AL36" s="246"/>
      <c r="AM36" s="268"/>
      <c r="AN36" s="271"/>
      <c r="AO36" s="279"/>
      <c r="AP36" s="304"/>
      <c r="AQ36" s="305"/>
      <c r="AR36" s="303">
        <f t="shared" si="13"/>
        <v>0</v>
      </c>
      <c r="AS36" s="306">
        <f t="shared" si="14"/>
        <v>0</v>
      </c>
      <c r="AT36" s="271"/>
      <c r="AU36" s="266">
        <v>900</v>
      </c>
      <c r="AV36" s="278"/>
      <c r="AW36" s="293">
        <v>0</v>
      </c>
      <c r="AX36" s="315">
        <f>AW36/AU36</f>
        <v>0</v>
      </c>
      <c r="AY36" s="335">
        <v>300</v>
      </c>
      <c r="AZ36" s="335">
        <f t="shared" si="15"/>
        <v>300</v>
      </c>
      <c r="BA36" s="315">
        <f t="shared" si="16"/>
        <v>0.33333333333333331</v>
      </c>
      <c r="BB36" s="340">
        <v>900</v>
      </c>
      <c r="BC36" s="434" t="s">
        <v>258</v>
      </c>
      <c r="BD36" s="440">
        <v>0</v>
      </c>
      <c r="BE36" s="446">
        <v>0</v>
      </c>
      <c r="BF36" s="417"/>
      <c r="BG36" s="428">
        <f>BF36/BB36</f>
        <v>0</v>
      </c>
      <c r="BH36" s="476">
        <v>200</v>
      </c>
      <c r="BI36" s="476">
        <f t="shared" si="1"/>
        <v>200</v>
      </c>
      <c r="BJ36" s="428">
        <f t="shared" si="2"/>
        <v>0.22222222222222221</v>
      </c>
      <c r="BK36" s="456">
        <v>400</v>
      </c>
      <c r="BL36" s="460" t="s">
        <v>305</v>
      </c>
      <c r="BM36" s="509">
        <v>120.71</v>
      </c>
      <c r="BN36" s="508">
        <f t="shared" si="17"/>
        <v>0.13412222222222223</v>
      </c>
      <c r="BO36" s="1095">
        <v>400</v>
      </c>
      <c r="BP36" s="1223">
        <v>140.01</v>
      </c>
      <c r="BQ36" s="1090"/>
      <c r="BR36" s="1090"/>
      <c r="BS36" s="1090"/>
    </row>
    <row r="37" spans="1:71" ht="15.5" x14ac:dyDescent="0.35">
      <c r="A37" s="2" t="s">
        <v>35</v>
      </c>
      <c r="B37" s="9">
        <v>150</v>
      </c>
      <c r="C37" s="181">
        <v>130</v>
      </c>
      <c r="D37" s="177">
        <f t="shared" si="3"/>
        <v>0.8666666666666667</v>
      </c>
      <c r="E37" s="6">
        <v>130</v>
      </c>
      <c r="F37" s="178">
        <f t="shared" si="4"/>
        <v>0.8666666666666667</v>
      </c>
      <c r="G37" s="123">
        <f>E37</f>
        <v>130</v>
      </c>
      <c r="H37" s="106">
        <v>130</v>
      </c>
      <c r="I37" s="127">
        <v>150</v>
      </c>
      <c r="J37" s="96">
        <v>130</v>
      </c>
      <c r="K37" s="77">
        <f t="shared" si="5"/>
        <v>0.8666666666666667</v>
      </c>
      <c r="L37" s="1195">
        <v>150</v>
      </c>
      <c r="M37" s="86">
        <v>130</v>
      </c>
      <c r="N37" s="88">
        <f>M37/L37</f>
        <v>0.8666666666666667</v>
      </c>
      <c r="O37" s="92">
        <v>130</v>
      </c>
      <c r="P37" s="93">
        <f t="shared" si="18"/>
        <v>0.8666666666666667</v>
      </c>
      <c r="Q37" s="179"/>
      <c r="R37" s="179"/>
      <c r="S37" s="127"/>
      <c r="T37" s="127"/>
      <c r="U37" s="113">
        <v>130</v>
      </c>
      <c r="V37" s="129">
        <f t="shared" si="6"/>
        <v>0.8666666666666667</v>
      </c>
      <c r="W37" s="117">
        <v>130</v>
      </c>
      <c r="X37" s="130">
        <f t="shared" si="7"/>
        <v>0.8666666666666667</v>
      </c>
      <c r="Y37" s="182"/>
      <c r="Z37" s="233">
        <v>136.5</v>
      </c>
      <c r="AA37" s="205"/>
      <c r="AB37" s="206">
        <f t="shared" si="8"/>
        <v>0</v>
      </c>
      <c r="AC37" s="226">
        <v>130</v>
      </c>
      <c r="AD37" s="229">
        <f t="shared" si="9"/>
        <v>0.95238095238095233</v>
      </c>
      <c r="AE37" s="214">
        <v>0</v>
      </c>
      <c r="AF37" s="240">
        <f t="shared" si="10"/>
        <v>130</v>
      </c>
      <c r="AG37" s="242">
        <f t="shared" si="11"/>
        <v>0.95238095238095233</v>
      </c>
      <c r="AH37" s="263">
        <v>130</v>
      </c>
      <c r="AI37" s="242">
        <f t="shared" si="12"/>
        <v>0.95238095238095233</v>
      </c>
      <c r="AJ37" s="266">
        <v>130</v>
      </c>
      <c r="AK37" s="216"/>
      <c r="AL37" s="246"/>
      <c r="AM37" s="268"/>
      <c r="AN37" s="271">
        <v>130</v>
      </c>
      <c r="AO37" s="279">
        <v>130</v>
      </c>
      <c r="AP37" s="304">
        <v>130</v>
      </c>
      <c r="AQ37" s="305">
        <v>0</v>
      </c>
      <c r="AR37" s="303">
        <f t="shared" si="13"/>
        <v>130</v>
      </c>
      <c r="AS37" s="306">
        <f t="shared" si="14"/>
        <v>1</v>
      </c>
      <c r="AT37" s="271"/>
      <c r="AU37" s="266">
        <v>130</v>
      </c>
      <c r="AV37" s="278"/>
      <c r="AW37" s="293">
        <v>130</v>
      </c>
      <c r="AX37" s="315">
        <f>AW37/AU37</f>
        <v>1</v>
      </c>
      <c r="AY37" s="335">
        <v>0</v>
      </c>
      <c r="AZ37" s="335">
        <f t="shared" si="15"/>
        <v>130</v>
      </c>
      <c r="BA37" s="315">
        <f t="shared" si="16"/>
        <v>1</v>
      </c>
      <c r="BB37" s="340">
        <v>130</v>
      </c>
      <c r="BC37" s="434" t="s">
        <v>233</v>
      </c>
      <c r="BD37" s="440">
        <v>140</v>
      </c>
      <c r="BE37" s="446">
        <v>1.08</v>
      </c>
      <c r="BF37" s="417" t="e">
        <f>'Natwest Expenses'!#REF!</f>
        <v>#REF!</v>
      </c>
      <c r="BG37" s="428" t="e">
        <f>BF37/BB37</f>
        <v>#REF!</v>
      </c>
      <c r="BH37" s="476">
        <v>0</v>
      </c>
      <c r="BI37" s="476">
        <f t="shared" si="1"/>
        <v>140</v>
      </c>
      <c r="BJ37" s="428">
        <f t="shared" si="2"/>
        <v>1.0769230769230769</v>
      </c>
      <c r="BK37" s="456">
        <v>250</v>
      </c>
      <c r="BM37" s="511">
        <v>390</v>
      </c>
      <c r="BN37" s="510">
        <f t="shared" si="17"/>
        <v>3</v>
      </c>
      <c r="BO37" s="1095">
        <v>250</v>
      </c>
      <c r="BP37" s="1223"/>
      <c r="BQ37" s="1090"/>
      <c r="BR37" s="1090"/>
      <c r="BS37" s="1090"/>
    </row>
    <row r="38" spans="1:71" ht="15.5" x14ac:dyDescent="0.35">
      <c r="A38" s="2" t="s">
        <v>36</v>
      </c>
      <c r="B38" s="9">
        <v>250</v>
      </c>
      <c r="C38" s="181"/>
      <c r="D38" s="177">
        <f t="shared" si="3"/>
        <v>0</v>
      </c>
      <c r="E38" s="6">
        <v>200</v>
      </c>
      <c r="F38" s="178">
        <f t="shared" si="4"/>
        <v>0.8</v>
      </c>
      <c r="G38" s="123">
        <f>E38</f>
        <v>200</v>
      </c>
      <c r="H38" s="106">
        <v>200</v>
      </c>
      <c r="I38" s="127">
        <v>250</v>
      </c>
      <c r="J38" s="96">
        <v>200</v>
      </c>
      <c r="K38" s="77">
        <f t="shared" si="5"/>
        <v>0.8</v>
      </c>
      <c r="L38" s="1195">
        <v>250</v>
      </c>
      <c r="M38" s="86"/>
      <c r="N38" s="88"/>
      <c r="O38" s="92">
        <v>0</v>
      </c>
      <c r="P38" s="93">
        <f t="shared" si="18"/>
        <v>0</v>
      </c>
      <c r="Q38" s="179"/>
      <c r="R38" s="179"/>
      <c r="S38" s="127"/>
      <c r="T38" s="127"/>
      <c r="U38" s="113">
        <v>300</v>
      </c>
      <c r="V38" s="129">
        <f t="shared" si="6"/>
        <v>1.2</v>
      </c>
      <c r="W38" s="117">
        <v>300</v>
      </c>
      <c r="X38" s="130">
        <f t="shared" si="7"/>
        <v>1.2</v>
      </c>
      <c r="Y38" s="182"/>
      <c r="Z38" s="233">
        <v>315</v>
      </c>
      <c r="AA38" s="205"/>
      <c r="AB38" s="206">
        <f t="shared" si="8"/>
        <v>0</v>
      </c>
      <c r="AC38" s="226">
        <v>200</v>
      </c>
      <c r="AD38" s="229">
        <f t="shared" si="9"/>
        <v>0.63492063492063489</v>
      </c>
      <c r="AE38" s="214">
        <v>0</v>
      </c>
      <c r="AF38" s="240">
        <f t="shared" si="10"/>
        <v>200</v>
      </c>
      <c r="AG38" s="242">
        <f t="shared" si="11"/>
        <v>0.63492063492063489</v>
      </c>
      <c r="AH38" s="263">
        <v>200</v>
      </c>
      <c r="AI38" s="242">
        <f t="shared" si="12"/>
        <v>0.63492063492063489</v>
      </c>
      <c r="AJ38" s="266">
        <v>200</v>
      </c>
      <c r="AK38" s="216"/>
      <c r="AL38" s="246"/>
      <c r="AM38" s="268"/>
      <c r="AN38" s="271">
        <v>200</v>
      </c>
      <c r="AO38" s="279">
        <v>200</v>
      </c>
      <c r="AP38" s="304">
        <v>200</v>
      </c>
      <c r="AQ38" s="305">
        <v>0</v>
      </c>
      <c r="AR38" s="303">
        <f t="shared" si="13"/>
        <v>200</v>
      </c>
      <c r="AS38" s="306">
        <f t="shared" si="14"/>
        <v>1</v>
      </c>
      <c r="AT38" s="271"/>
      <c r="AU38" s="266">
        <v>200</v>
      </c>
      <c r="AV38" s="278"/>
      <c r="AW38" s="293">
        <v>200</v>
      </c>
      <c r="AX38" s="315">
        <f>AW38/AU38</f>
        <v>1</v>
      </c>
      <c r="AY38" s="335">
        <v>0</v>
      </c>
      <c r="AZ38" s="335">
        <f t="shared" si="15"/>
        <v>200</v>
      </c>
      <c r="BA38" s="315">
        <f t="shared" si="16"/>
        <v>1</v>
      </c>
      <c r="BB38" s="340">
        <v>200</v>
      </c>
      <c r="BC38" s="434" t="s">
        <v>233</v>
      </c>
      <c r="BD38" s="440">
        <v>200</v>
      </c>
      <c r="BE38" s="446">
        <v>1</v>
      </c>
      <c r="BF38" s="417" t="e">
        <f>'Natwest Expenses'!#REF!</f>
        <v>#REF!</v>
      </c>
      <c r="BG38" s="428" t="e">
        <f>BF38/BB38</f>
        <v>#REF!</v>
      </c>
      <c r="BH38" s="476">
        <v>0</v>
      </c>
      <c r="BI38" s="476">
        <f t="shared" si="1"/>
        <v>200</v>
      </c>
      <c r="BJ38" s="428">
        <f t="shared" si="2"/>
        <v>1</v>
      </c>
      <c r="BK38" s="456">
        <v>200</v>
      </c>
      <c r="BM38" s="511">
        <v>200</v>
      </c>
      <c r="BN38" s="508">
        <f t="shared" si="17"/>
        <v>1</v>
      </c>
      <c r="BO38" s="1095">
        <v>200</v>
      </c>
      <c r="BP38" s="1223">
        <v>315</v>
      </c>
      <c r="BQ38" s="1090"/>
      <c r="BR38" s="1090"/>
      <c r="BS38" s="1090"/>
    </row>
    <row r="39" spans="1:71" ht="15.5" x14ac:dyDescent="0.35">
      <c r="A39" s="2" t="s">
        <v>37</v>
      </c>
      <c r="B39" s="9">
        <v>0</v>
      </c>
      <c r="C39" s="181"/>
      <c r="D39" s="177"/>
      <c r="E39" s="6"/>
      <c r="F39" s="1203"/>
      <c r="G39" s="1204"/>
      <c r="H39" s="1205"/>
      <c r="I39" s="1206"/>
      <c r="J39" s="1207"/>
      <c r="K39" s="1208"/>
      <c r="L39" s="1195"/>
      <c r="M39" s="86"/>
      <c r="N39" s="1209"/>
      <c r="O39" s="1210">
        <v>301.18</v>
      </c>
      <c r="P39" s="1211"/>
      <c r="Q39" s="1212"/>
      <c r="R39" s="1212"/>
      <c r="S39" s="1206"/>
      <c r="T39" s="1206"/>
      <c r="U39" s="113">
        <v>301.18</v>
      </c>
      <c r="V39" s="1213"/>
      <c r="W39" s="1214">
        <v>301.18</v>
      </c>
      <c r="X39" s="1215"/>
      <c r="Y39" s="182"/>
      <c r="Z39" s="520">
        <v>316.23</v>
      </c>
      <c r="AA39" s="1216">
        <v>299.86</v>
      </c>
      <c r="AB39" s="522">
        <f t="shared" si="8"/>
        <v>0.94823388040350376</v>
      </c>
      <c r="AC39" s="1217">
        <v>299.86</v>
      </c>
      <c r="AD39" s="524">
        <f t="shared" si="9"/>
        <v>0.94823388040350376</v>
      </c>
      <c r="AE39" s="525">
        <v>0</v>
      </c>
      <c r="AF39" s="526">
        <f t="shared" si="10"/>
        <v>299.86</v>
      </c>
      <c r="AG39" s="527">
        <f t="shared" si="11"/>
        <v>0.94823388040350376</v>
      </c>
      <c r="AH39" s="521">
        <v>299.86</v>
      </c>
      <c r="AI39" s="527">
        <f t="shared" si="12"/>
        <v>0.94823388040350376</v>
      </c>
      <c r="AJ39" s="266">
        <v>300</v>
      </c>
      <c r="AK39" s="528"/>
      <c r="AL39" s="529"/>
      <c r="AM39" s="530"/>
      <c r="AN39" s="271"/>
      <c r="AO39" s="279"/>
      <c r="AP39" s="304">
        <v>309.35000000000002</v>
      </c>
      <c r="AQ39" s="305">
        <v>309.35000000000002</v>
      </c>
      <c r="AR39" s="303">
        <f t="shared" si="13"/>
        <v>309.35000000000002</v>
      </c>
      <c r="AS39" s="306">
        <f t="shared" si="14"/>
        <v>1.0311666666666668</v>
      </c>
      <c r="AT39" s="271"/>
      <c r="AU39" s="266">
        <v>320</v>
      </c>
      <c r="AV39" s="278"/>
      <c r="AW39" s="293">
        <v>317.38</v>
      </c>
      <c r="AX39" s="539">
        <f>AW39/AU39</f>
        <v>0.99181249999999999</v>
      </c>
      <c r="AY39" s="1218">
        <v>0</v>
      </c>
      <c r="AZ39" s="1218">
        <f t="shared" si="15"/>
        <v>317.38</v>
      </c>
      <c r="BA39" s="539">
        <f t="shared" si="16"/>
        <v>0.99181249999999999</v>
      </c>
      <c r="BB39" s="481">
        <v>320</v>
      </c>
      <c r="BC39" s="434" t="s">
        <v>233</v>
      </c>
      <c r="BD39" s="440">
        <v>313.16000000000003</v>
      </c>
      <c r="BE39" s="446">
        <v>0.98</v>
      </c>
      <c r="BF39" s="417" t="e">
        <f>'Natwest Expenses'!#REF!</f>
        <v>#REF!</v>
      </c>
      <c r="BG39" s="428" t="e">
        <f>BF39/BB39</f>
        <v>#REF!</v>
      </c>
      <c r="BH39" s="476">
        <v>0</v>
      </c>
      <c r="BI39" s="476">
        <f t="shared" si="1"/>
        <v>313.16000000000003</v>
      </c>
      <c r="BJ39" s="428">
        <f t="shared" si="2"/>
        <v>0.97862500000000008</v>
      </c>
      <c r="BK39" s="456">
        <f>313.16+313.16*15%</f>
        <v>360.13400000000001</v>
      </c>
      <c r="BL39" s="462">
        <v>0.15</v>
      </c>
      <c r="BM39" s="511">
        <v>313.16000000000003</v>
      </c>
      <c r="BN39" s="510">
        <f t="shared" si="17"/>
        <v>0.97862500000000008</v>
      </c>
      <c r="BO39" s="1095">
        <v>360.13</v>
      </c>
      <c r="BP39" s="1223">
        <v>333.02</v>
      </c>
      <c r="BQ39" s="1090"/>
      <c r="BR39" s="1090"/>
      <c r="BS39" s="1090"/>
    </row>
    <row r="40" spans="1:71" ht="15.5" hidden="1" x14ac:dyDescent="0.35">
      <c r="A40" s="2" t="s">
        <v>38</v>
      </c>
      <c r="B40" s="9">
        <v>0</v>
      </c>
      <c r="C40" s="181"/>
      <c r="D40" s="177"/>
      <c r="E40" s="6"/>
      <c r="F40" s="1203"/>
      <c r="G40" s="1204"/>
      <c r="H40" s="1205"/>
      <c r="I40" s="1206"/>
      <c r="J40" s="1207"/>
      <c r="K40" s="1208"/>
      <c r="L40" s="1195"/>
      <c r="M40" s="86"/>
      <c r="N40" s="1209"/>
      <c r="O40" s="1210"/>
      <c r="P40" s="1211"/>
      <c r="Q40" s="1212"/>
      <c r="R40" s="1212"/>
      <c r="S40" s="1206"/>
      <c r="T40" s="1206"/>
      <c r="U40" s="113"/>
      <c r="V40" s="1213"/>
      <c r="W40" s="1214">
        <v>0</v>
      </c>
      <c r="X40" s="1215"/>
      <c r="Y40" s="182"/>
      <c r="Z40" s="520"/>
      <c r="AA40" s="1216"/>
      <c r="AB40" s="522"/>
      <c r="AC40" s="1217"/>
      <c r="AD40" s="524"/>
      <c r="AE40" s="525">
        <v>0</v>
      </c>
      <c r="AF40" s="526">
        <f t="shared" si="10"/>
        <v>0</v>
      </c>
      <c r="AG40" s="527"/>
      <c r="AH40" s="521"/>
      <c r="AI40" s="527"/>
      <c r="AJ40" s="266"/>
      <c r="AK40" s="528"/>
      <c r="AL40" s="529"/>
      <c r="AM40" s="530"/>
      <c r="AN40" s="271"/>
      <c r="AO40" s="279"/>
      <c r="AP40" s="304"/>
      <c r="AQ40" s="305"/>
      <c r="AR40" s="303">
        <f t="shared" si="13"/>
        <v>0</v>
      </c>
      <c r="AS40" s="306"/>
      <c r="AT40" s="271"/>
      <c r="AU40" s="266"/>
      <c r="AV40" s="278" t="s">
        <v>213</v>
      </c>
      <c r="AW40" s="293"/>
      <c r="AX40" s="539"/>
      <c r="AY40" s="1218"/>
      <c r="AZ40" s="1218">
        <f t="shared" si="15"/>
        <v>0</v>
      </c>
      <c r="BA40" s="539"/>
      <c r="BB40" s="481"/>
      <c r="BC40" s="434"/>
      <c r="BD40" s="440"/>
      <c r="BE40" s="446"/>
      <c r="BF40" s="417"/>
      <c r="BG40" s="428"/>
      <c r="BH40" s="476"/>
      <c r="BI40" s="476">
        <f t="shared" si="1"/>
        <v>0</v>
      </c>
      <c r="BJ40" s="428" t="e">
        <f t="shared" si="2"/>
        <v>#DIV/0!</v>
      </c>
      <c r="BK40" s="456"/>
      <c r="BM40" s="511"/>
      <c r="BN40" s="508" t="e">
        <f t="shared" si="17"/>
        <v>#DIV/0!</v>
      </c>
      <c r="BO40" s="1095"/>
      <c r="BP40" s="1223"/>
      <c r="BQ40" s="1090"/>
      <c r="BR40" s="1090"/>
      <c r="BS40" s="1090"/>
    </row>
    <row r="41" spans="1:71" ht="15.5" hidden="1" x14ac:dyDescent="0.35">
      <c r="A41" s="2" t="s">
        <v>39</v>
      </c>
      <c r="B41" s="9">
        <v>800</v>
      </c>
      <c r="C41" s="181">
        <v>500</v>
      </c>
      <c r="D41" s="177">
        <f t="shared" si="3"/>
        <v>0.625</v>
      </c>
      <c r="E41" s="6">
        <v>500</v>
      </c>
      <c r="F41" s="1203">
        <f t="shared" si="4"/>
        <v>0.625</v>
      </c>
      <c r="G41" s="1204">
        <f>E41</f>
        <v>500</v>
      </c>
      <c r="H41" s="1205">
        <v>500</v>
      </c>
      <c r="I41" s="1206">
        <v>0</v>
      </c>
      <c r="J41" s="1207">
        <v>500</v>
      </c>
      <c r="K41" s="1208">
        <f>J41/H41</f>
        <v>1</v>
      </c>
      <c r="L41" s="1195">
        <v>0</v>
      </c>
      <c r="M41" s="86"/>
      <c r="N41" s="1209"/>
      <c r="O41" s="1210">
        <v>0</v>
      </c>
      <c r="P41" s="1211"/>
      <c r="Q41" s="1212"/>
      <c r="R41" s="1212"/>
      <c r="S41" s="1206"/>
      <c r="T41" s="1206"/>
      <c r="U41" s="113"/>
      <c r="V41" s="1213"/>
      <c r="W41" s="1214">
        <v>0</v>
      </c>
      <c r="X41" s="1215"/>
      <c r="Y41" s="182"/>
      <c r="Z41" s="520"/>
      <c r="AA41" s="1216"/>
      <c r="AB41" s="522"/>
      <c r="AC41" s="1217"/>
      <c r="AD41" s="524"/>
      <c r="AE41" s="525">
        <v>0</v>
      </c>
      <c r="AF41" s="526">
        <f t="shared" si="10"/>
        <v>0</v>
      </c>
      <c r="AG41" s="527"/>
      <c r="AH41" s="521">
        <v>0</v>
      </c>
      <c r="AI41" s="527"/>
      <c r="AJ41" s="266"/>
      <c r="AK41" s="528"/>
      <c r="AL41" s="529"/>
      <c r="AM41" s="530"/>
      <c r="AN41" s="271"/>
      <c r="AO41" s="279"/>
      <c r="AP41" s="304"/>
      <c r="AQ41" s="305"/>
      <c r="AR41" s="303">
        <f t="shared" si="13"/>
        <v>0</v>
      </c>
      <c r="AS41" s="306"/>
      <c r="AT41" s="271"/>
      <c r="AU41" s="266"/>
      <c r="AV41" s="278"/>
      <c r="AW41" s="293"/>
      <c r="AX41" s="539"/>
      <c r="AY41" s="1218"/>
      <c r="AZ41" s="1218">
        <f t="shared" si="15"/>
        <v>0</v>
      </c>
      <c r="BA41" s="539"/>
      <c r="BB41" s="481"/>
      <c r="BC41" s="434"/>
      <c r="BD41" s="440"/>
      <c r="BE41" s="446"/>
      <c r="BF41" s="417"/>
      <c r="BG41" s="428"/>
      <c r="BH41" s="476"/>
      <c r="BI41" s="476">
        <f t="shared" si="1"/>
        <v>0</v>
      </c>
      <c r="BJ41" s="428" t="e">
        <f t="shared" si="2"/>
        <v>#DIV/0!</v>
      </c>
      <c r="BK41" s="456"/>
      <c r="BM41" s="511"/>
      <c r="BN41" s="510" t="e">
        <f t="shared" si="17"/>
        <v>#DIV/0!</v>
      </c>
      <c r="BO41" s="1095"/>
      <c r="BP41" s="1223"/>
      <c r="BQ41" s="1090"/>
      <c r="BR41" s="1090"/>
      <c r="BS41" s="1090"/>
    </row>
    <row r="42" spans="1:71" ht="15.5" hidden="1" x14ac:dyDescent="0.35">
      <c r="A42" s="2" t="s">
        <v>40</v>
      </c>
      <c r="B42" s="9">
        <v>1100</v>
      </c>
      <c r="C42" s="181">
        <v>1100</v>
      </c>
      <c r="D42" s="177">
        <f t="shared" si="3"/>
        <v>1</v>
      </c>
      <c r="E42" s="6">
        <v>1100</v>
      </c>
      <c r="F42" s="1203">
        <f t="shared" si="4"/>
        <v>1</v>
      </c>
      <c r="G42" s="1204">
        <f>E42</f>
        <v>1100</v>
      </c>
      <c r="H42" s="1205">
        <v>1100</v>
      </c>
      <c r="I42" s="1206">
        <v>1100</v>
      </c>
      <c r="J42" s="1207">
        <v>1100</v>
      </c>
      <c r="K42" s="1208">
        <f t="shared" si="5"/>
        <v>1</v>
      </c>
      <c r="L42" s="1195">
        <v>1100</v>
      </c>
      <c r="M42" s="86"/>
      <c r="N42" s="1209"/>
      <c r="O42" s="1210">
        <v>1100</v>
      </c>
      <c r="P42" s="1211">
        <f t="shared" si="18"/>
        <v>1</v>
      </c>
      <c r="Q42" s="1212"/>
      <c r="R42" s="1212"/>
      <c r="S42" s="1206"/>
      <c r="T42" s="1206"/>
      <c r="U42" s="113">
        <v>1100</v>
      </c>
      <c r="V42" s="1213">
        <f t="shared" si="6"/>
        <v>1</v>
      </c>
      <c r="W42" s="1214">
        <v>1100</v>
      </c>
      <c r="X42" s="1215">
        <f t="shared" si="7"/>
        <v>1</v>
      </c>
      <c r="Y42" s="182"/>
      <c r="Z42" s="520">
        <v>1100</v>
      </c>
      <c r="AA42" s="1216"/>
      <c r="AB42" s="522">
        <f t="shared" si="8"/>
        <v>0</v>
      </c>
      <c r="AC42" s="1217">
        <v>1100</v>
      </c>
      <c r="AD42" s="524">
        <f t="shared" si="9"/>
        <v>1</v>
      </c>
      <c r="AE42" s="525">
        <v>0</v>
      </c>
      <c r="AF42" s="526">
        <f t="shared" si="10"/>
        <v>1100</v>
      </c>
      <c r="AG42" s="527">
        <f t="shared" si="11"/>
        <v>1</v>
      </c>
      <c r="AH42" s="521">
        <v>1100</v>
      </c>
      <c r="AI42" s="527">
        <f t="shared" si="12"/>
        <v>1</v>
      </c>
      <c r="AJ42" s="266">
        <v>1100</v>
      </c>
      <c r="AK42" s="528"/>
      <c r="AL42" s="529"/>
      <c r="AM42" s="530"/>
      <c r="AN42" s="271"/>
      <c r="AO42" s="279"/>
      <c r="AP42" s="304"/>
      <c r="AQ42" s="305"/>
      <c r="AR42" s="303">
        <f t="shared" si="13"/>
        <v>0</v>
      </c>
      <c r="AS42" s="306">
        <f t="shared" si="14"/>
        <v>0</v>
      </c>
      <c r="AT42" s="271"/>
      <c r="AU42" s="266"/>
      <c r="AV42" s="278" t="s">
        <v>214</v>
      </c>
      <c r="AW42" s="293"/>
      <c r="AX42" s="539"/>
      <c r="AY42" s="1218"/>
      <c r="AZ42" s="1218">
        <f t="shared" si="15"/>
        <v>0</v>
      </c>
      <c r="BA42" s="539"/>
      <c r="BB42" s="481"/>
      <c r="BC42" s="434"/>
      <c r="BD42" s="440"/>
      <c r="BE42" s="446"/>
      <c r="BF42" s="417"/>
      <c r="BG42" s="428"/>
      <c r="BH42" s="476"/>
      <c r="BI42" s="476">
        <f t="shared" si="1"/>
        <v>0</v>
      </c>
      <c r="BJ42" s="428" t="e">
        <f t="shared" si="2"/>
        <v>#DIV/0!</v>
      </c>
      <c r="BK42" s="456"/>
      <c r="BM42" s="511"/>
      <c r="BN42" s="508" t="e">
        <f t="shared" si="17"/>
        <v>#DIV/0!</v>
      </c>
      <c r="BO42" s="1095"/>
      <c r="BP42" s="1223"/>
      <c r="BQ42" s="1090"/>
      <c r="BR42" s="1090"/>
      <c r="BS42" s="1090"/>
    </row>
    <row r="43" spans="1:71" ht="15.5" x14ac:dyDescent="0.35">
      <c r="A43" s="2" t="s">
        <v>194</v>
      </c>
      <c r="B43" s="9"/>
      <c r="C43" s="181"/>
      <c r="D43" s="177"/>
      <c r="E43" s="6"/>
      <c r="F43" s="1203"/>
      <c r="G43" s="1204"/>
      <c r="H43" s="1205"/>
      <c r="I43" s="1206"/>
      <c r="J43" s="1207"/>
      <c r="K43" s="1208"/>
      <c r="L43" s="1195"/>
      <c r="M43" s="86"/>
      <c r="N43" s="1209"/>
      <c r="O43" s="1210"/>
      <c r="P43" s="1211"/>
      <c r="Q43" s="1212"/>
      <c r="R43" s="1212"/>
      <c r="S43" s="1206"/>
      <c r="T43" s="1206"/>
      <c r="U43" s="113"/>
      <c r="V43" s="1213"/>
      <c r="W43" s="1214"/>
      <c r="X43" s="1215"/>
      <c r="Y43" s="182"/>
      <c r="Z43" s="520"/>
      <c r="AA43" s="1216"/>
      <c r="AB43" s="522"/>
      <c r="AC43" s="1217"/>
      <c r="AD43" s="524"/>
      <c r="AE43" s="525"/>
      <c r="AF43" s="526"/>
      <c r="AG43" s="527"/>
      <c r="AH43" s="521"/>
      <c r="AI43" s="527"/>
      <c r="AJ43" s="266"/>
      <c r="AK43" s="528"/>
      <c r="AL43" s="529"/>
      <c r="AM43" s="530"/>
      <c r="AN43" s="271"/>
      <c r="AO43" s="279"/>
      <c r="AP43" s="304"/>
      <c r="AQ43" s="305"/>
      <c r="AR43" s="303"/>
      <c r="AS43" s="306"/>
      <c r="AT43" s="271"/>
      <c r="AU43" s="266"/>
      <c r="AV43" s="278"/>
      <c r="AW43" s="293"/>
      <c r="AX43" s="539"/>
      <c r="AY43" s="1218"/>
      <c r="AZ43" s="1218"/>
      <c r="BA43" s="539"/>
      <c r="BB43" s="481"/>
      <c r="BC43" s="434"/>
      <c r="BD43" s="440"/>
      <c r="BE43" s="446"/>
      <c r="BF43" s="417"/>
      <c r="BG43" s="428"/>
      <c r="BH43" s="476"/>
      <c r="BI43" s="476"/>
      <c r="BJ43" s="428"/>
      <c r="BK43" s="456"/>
      <c r="BM43" s="511"/>
      <c r="BN43" s="508"/>
      <c r="BO43" s="1095"/>
      <c r="BP43" s="1223">
        <v>450</v>
      </c>
      <c r="BQ43" s="1090"/>
      <c r="BR43" s="1090"/>
      <c r="BS43" s="1090"/>
    </row>
    <row r="44" spans="1:71" ht="43" x14ac:dyDescent="0.35">
      <c r="A44" s="2" t="s">
        <v>41</v>
      </c>
      <c r="B44" s="9">
        <v>0</v>
      </c>
      <c r="C44" s="181"/>
      <c r="D44" s="177"/>
      <c r="E44" s="6"/>
      <c r="F44" s="178"/>
      <c r="G44" s="123"/>
      <c r="H44" s="106"/>
      <c r="I44" s="127">
        <v>0</v>
      </c>
      <c r="J44" s="96"/>
      <c r="K44" s="77"/>
      <c r="L44" s="1195">
        <v>0</v>
      </c>
      <c r="M44" s="86"/>
      <c r="N44" s="88"/>
      <c r="O44" s="92"/>
      <c r="P44" s="93"/>
      <c r="Q44" s="179"/>
      <c r="R44" s="179"/>
      <c r="S44" s="127"/>
      <c r="T44" s="127"/>
      <c r="U44" s="113"/>
      <c r="V44" s="129"/>
      <c r="W44" s="117">
        <v>0</v>
      </c>
      <c r="X44" s="130"/>
      <c r="Y44" s="182"/>
      <c r="Z44" s="233"/>
      <c r="AA44" s="205"/>
      <c r="AB44" s="206"/>
      <c r="AC44" s="226"/>
      <c r="AD44" s="229"/>
      <c r="AE44" s="214">
        <v>0</v>
      </c>
      <c r="AF44" s="240">
        <f t="shared" si="10"/>
        <v>0</v>
      </c>
      <c r="AG44" s="242"/>
      <c r="AH44" s="263">
        <v>0</v>
      </c>
      <c r="AI44" s="242"/>
      <c r="AJ44" s="266">
        <v>10000</v>
      </c>
      <c r="AK44" s="216" t="s">
        <v>154</v>
      </c>
      <c r="AL44" s="256">
        <v>800</v>
      </c>
      <c r="AM44" s="268"/>
      <c r="AN44" s="271">
        <v>9446.8700000000008</v>
      </c>
      <c r="AO44" s="279">
        <v>10211.879999999999</v>
      </c>
      <c r="AP44" s="304">
        <v>10676.82</v>
      </c>
      <c r="AQ44" s="305">
        <v>400</v>
      </c>
      <c r="AR44" s="303">
        <f t="shared" si="13"/>
        <v>10611.88</v>
      </c>
      <c r="AS44" s="306">
        <f t="shared" si="14"/>
        <v>1.067682</v>
      </c>
      <c r="AT44" s="271" t="s">
        <v>203</v>
      </c>
      <c r="AU44" s="266">
        <v>10000</v>
      </c>
      <c r="AV44" s="278" t="s">
        <v>208</v>
      </c>
      <c r="AW44" s="293">
        <v>6868.13</v>
      </c>
      <c r="AX44" s="315">
        <f>AW44/AU44</f>
        <v>0.68681300000000001</v>
      </c>
      <c r="AY44" s="335">
        <v>1900</v>
      </c>
      <c r="AZ44" s="335">
        <f t="shared" si="15"/>
        <v>8768.130000000001</v>
      </c>
      <c r="BA44" s="315">
        <f t="shared" si="16"/>
        <v>0.87681300000000006</v>
      </c>
      <c r="BB44" s="340">
        <v>10000</v>
      </c>
      <c r="BC44" s="434" t="s">
        <v>257</v>
      </c>
      <c r="BD44" s="442">
        <v>2015.48</v>
      </c>
      <c r="BE44" s="446">
        <v>0.2</v>
      </c>
      <c r="BF44" s="417">
        <f>'Natwest Expenses'!AE132+'Natwest Expenses'!AF132+'Natwest Expenses'!AG132+'Natwest Expenses'!AH132+'Natwest Expenses'!AJ132</f>
        <v>1949.18</v>
      </c>
      <c r="BG44" s="428">
        <f>BF44/BB44</f>
        <v>0.19491800000000001</v>
      </c>
      <c r="BH44" s="476">
        <f>BD44/9*3</f>
        <v>671.82666666666671</v>
      </c>
      <c r="BI44" s="476">
        <f t="shared" si="1"/>
        <v>2687.3066666666668</v>
      </c>
      <c r="BJ44" s="428">
        <f t="shared" si="2"/>
        <v>0.26873066666666667</v>
      </c>
      <c r="BK44" s="456">
        <v>7000</v>
      </c>
      <c r="BL44" s="460" t="s">
        <v>324</v>
      </c>
      <c r="BM44" s="509">
        <v>3476</v>
      </c>
      <c r="BN44" s="510">
        <f t="shared" si="17"/>
        <v>0.34760000000000002</v>
      </c>
      <c r="BO44" s="1095">
        <v>7000</v>
      </c>
      <c r="BP44" s="1223">
        <v>2759.23</v>
      </c>
      <c r="BQ44" s="1090"/>
      <c r="BR44" s="1090"/>
      <c r="BS44" s="1090"/>
    </row>
    <row r="45" spans="1:71" ht="15.5" x14ac:dyDescent="0.35">
      <c r="A45" s="2" t="s">
        <v>42</v>
      </c>
      <c r="B45" s="9">
        <v>400</v>
      </c>
      <c r="C45" s="181">
        <v>274.12</v>
      </c>
      <c r="D45" s="177">
        <f t="shared" si="3"/>
        <v>0.68530000000000002</v>
      </c>
      <c r="E45" s="6">
        <v>274.12</v>
      </c>
      <c r="F45" s="178">
        <f t="shared" si="4"/>
        <v>0.68530000000000002</v>
      </c>
      <c r="G45" s="123">
        <f>E45</f>
        <v>274.12</v>
      </c>
      <c r="H45" s="106">
        <v>274.12</v>
      </c>
      <c r="I45" s="127">
        <v>400</v>
      </c>
      <c r="J45" s="96">
        <v>274.12</v>
      </c>
      <c r="K45" s="77"/>
      <c r="L45" s="1195">
        <v>400</v>
      </c>
      <c r="M45" s="86">
        <v>50</v>
      </c>
      <c r="N45" s="88">
        <f>M45/L45</f>
        <v>0.125</v>
      </c>
      <c r="O45" s="92">
        <v>50</v>
      </c>
      <c r="P45" s="93">
        <f t="shared" si="18"/>
        <v>0.125</v>
      </c>
      <c r="Q45" s="179" t="s">
        <v>117</v>
      </c>
      <c r="R45" s="179"/>
      <c r="S45" s="127"/>
      <c r="T45" s="127"/>
      <c r="U45" s="113">
        <v>50</v>
      </c>
      <c r="V45" s="129">
        <f t="shared" si="6"/>
        <v>0.125</v>
      </c>
      <c r="W45" s="117">
        <v>50</v>
      </c>
      <c r="X45" s="130">
        <f t="shared" si="7"/>
        <v>0.125</v>
      </c>
      <c r="Y45" s="182"/>
      <c r="Z45" s="233">
        <v>400</v>
      </c>
      <c r="AA45" s="205"/>
      <c r="AB45" s="206">
        <f t="shared" si="8"/>
        <v>0</v>
      </c>
      <c r="AC45" s="226"/>
      <c r="AD45" s="229">
        <f t="shared" si="9"/>
        <v>0</v>
      </c>
      <c r="AE45" s="214">
        <v>0</v>
      </c>
      <c r="AF45" s="240">
        <f t="shared" si="10"/>
        <v>0</v>
      </c>
      <c r="AG45" s="242">
        <f t="shared" si="11"/>
        <v>0</v>
      </c>
      <c r="AH45" s="263">
        <v>2484.8000000000002</v>
      </c>
      <c r="AI45" s="242">
        <f t="shared" si="12"/>
        <v>6.2120000000000006</v>
      </c>
      <c r="AJ45" s="266">
        <v>1000</v>
      </c>
      <c r="AK45" s="216"/>
      <c r="AL45" s="246"/>
      <c r="AM45" s="268"/>
      <c r="AN45" s="271"/>
      <c r="AO45" s="279"/>
      <c r="AP45" s="304">
        <v>20</v>
      </c>
      <c r="AQ45" s="305"/>
      <c r="AR45" s="303">
        <f t="shared" si="13"/>
        <v>0</v>
      </c>
      <c r="AS45" s="306">
        <f t="shared" si="14"/>
        <v>0.02</v>
      </c>
      <c r="AT45" s="271"/>
      <c r="AU45" s="266">
        <v>1000</v>
      </c>
      <c r="AV45" s="278"/>
      <c r="AW45" s="293">
        <v>6.5</v>
      </c>
      <c r="AX45" s="315">
        <f>AW45/AU45</f>
        <v>6.4999999999999997E-3</v>
      </c>
      <c r="AY45" s="335">
        <v>250</v>
      </c>
      <c r="AZ45" s="335">
        <f t="shared" si="15"/>
        <v>256.5</v>
      </c>
      <c r="BA45" s="315">
        <f t="shared" si="16"/>
        <v>0.25650000000000001</v>
      </c>
      <c r="BB45" s="340">
        <v>500</v>
      </c>
      <c r="BC45" s="434"/>
      <c r="BD45" s="440"/>
      <c r="BE45" s="446">
        <v>0.1</v>
      </c>
      <c r="BF45" s="417">
        <f>'Natwest Expenses'!AL132+'Natwest Expenses'!AN132-993.58</f>
        <v>-25.790000000000077</v>
      </c>
      <c r="BG45" s="428">
        <f>BF45/BB45</f>
        <v>-5.1580000000000154E-2</v>
      </c>
      <c r="BH45" s="476">
        <v>0</v>
      </c>
      <c r="BI45" s="476">
        <f t="shared" si="1"/>
        <v>0</v>
      </c>
      <c r="BJ45" s="428">
        <f t="shared" si="2"/>
        <v>0</v>
      </c>
      <c r="BK45" s="456">
        <v>500</v>
      </c>
      <c r="BM45" s="511">
        <v>0</v>
      </c>
      <c r="BN45" s="508">
        <f t="shared" si="17"/>
        <v>0</v>
      </c>
      <c r="BO45" s="1095">
        <v>500</v>
      </c>
      <c r="BP45" s="1223">
        <v>1250</v>
      </c>
      <c r="BQ45" s="1090"/>
      <c r="BR45" s="1090"/>
      <c r="BS45" s="1090"/>
    </row>
    <row r="46" spans="1:71" ht="15.5" hidden="1" x14ac:dyDescent="0.35">
      <c r="A46" s="341" t="s">
        <v>43</v>
      </c>
      <c r="B46" s="342"/>
      <c r="C46" s="343"/>
      <c r="D46" s="344"/>
      <c r="E46" s="345"/>
      <c r="F46" s="346"/>
      <c r="G46" s="347"/>
      <c r="H46" s="348"/>
      <c r="I46" s="349"/>
      <c r="J46" s="350"/>
      <c r="K46" s="351"/>
      <c r="L46" s="1195">
        <v>200</v>
      </c>
      <c r="M46" s="352"/>
      <c r="N46" s="353"/>
      <c r="O46" s="354"/>
      <c r="P46" s="355">
        <f t="shared" si="18"/>
        <v>0</v>
      </c>
      <c r="Q46" s="356"/>
      <c r="R46" s="356"/>
      <c r="S46" s="349"/>
      <c r="T46" s="349"/>
      <c r="U46" s="358"/>
      <c r="V46" s="359">
        <f t="shared" si="6"/>
        <v>0</v>
      </c>
      <c r="W46" s="360">
        <v>918</v>
      </c>
      <c r="X46" s="361">
        <f t="shared" si="7"/>
        <v>4.59</v>
      </c>
      <c r="Y46" s="362">
        <v>1500</v>
      </c>
      <c r="Z46" s="363">
        <v>0</v>
      </c>
      <c r="AA46" s="364"/>
      <c r="AB46" s="365"/>
      <c r="AC46" s="366"/>
      <c r="AD46" s="367"/>
      <c r="AE46" s="368">
        <v>0</v>
      </c>
      <c r="AF46" s="369">
        <f t="shared" si="10"/>
        <v>0</v>
      </c>
      <c r="AG46" s="370"/>
      <c r="AH46" s="371">
        <v>0</v>
      </c>
      <c r="AI46" s="370"/>
      <c r="AJ46" s="372">
        <v>0</v>
      </c>
      <c r="AK46" s="373" t="s">
        <v>151</v>
      </c>
      <c r="AL46" s="374"/>
      <c r="AM46" s="375"/>
      <c r="AN46" s="376"/>
      <c r="AO46" s="377"/>
      <c r="AP46" s="378"/>
      <c r="AQ46" s="379"/>
      <c r="AR46" s="380">
        <f t="shared" si="13"/>
        <v>0</v>
      </c>
      <c r="AS46" s="381"/>
      <c r="AT46" s="376"/>
      <c r="AU46" s="266">
        <v>0</v>
      </c>
      <c r="AV46" s="382"/>
      <c r="AW46" s="383"/>
      <c r="AX46" s="384"/>
      <c r="AY46" s="385">
        <v>0</v>
      </c>
      <c r="AZ46" s="385">
        <f t="shared" si="15"/>
        <v>0</v>
      </c>
      <c r="BA46" s="384"/>
      <c r="BB46" s="386"/>
      <c r="BC46" s="434"/>
      <c r="BD46" s="440"/>
      <c r="BE46" s="446"/>
      <c r="BF46" s="417"/>
      <c r="BG46" s="428"/>
      <c r="BH46" s="476"/>
      <c r="BI46" s="476">
        <f t="shared" si="1"/>
        <v>0</v>
      </c>
      <c r="BJ46" s="428" t="e">
        <f t="shared" si="2"/>
        <v>#DIV/0!</v>
      </c>
      <c r="BK46" s="456"/>
      <c r="BM46" s="511"/>
      <c r="BN46" s="510" t="e">
        <f t="shared" si="17"/>
        <v>#DIV/0!</v>
      </c>
      <c r="BO46" s="1095"/>
      <c r="BP46" s="1223"/>
      <c r="BQ46" s="1090"/>
      <c r="BR46" s="1090"/>
      <c r="BS46" s="1090"/>
    </row>
    <row r="47" spans="1:71" ht="15.5" hidden="1" x14ac:dyDescent="0.35">
      <c r="A47" s="341" t="s">
        <v>44</v>
      </c>
      <c r="B47" s="342"/>
      <c r="C47" s="343"/>
      <c r="D47" s="344"/>
      <c r="E47" s="345"/>
      <c r="F47" s="346"/>
      <c r="G47" s="347"/>
      <c r="H47" s="348"/>
      <c r="I47" s="349">
        <v>8000</v>
      </c>
      <c r="J47" s="350"/>
      <c r="K47" s="351"/>
      <c r="L47" s="1195"/>
      <c r="M47" s="352"/>
      <c r="N47" s="353"/>
      <c r="O47" s="354"/>
      <c r="P47" s="355"/>
      <c r="Q47" s="356"/>
      <c r="R47" s="356"/>
      <c r="S47" s="349"/>
      <c r="T47" s="349"/>
      <c r="U47" s="358"/>
      <c r="V47" s="359"/>
      <c r="W47" s="360">
        <v>0</v>
      </c>
      <c r="X47" s="361"/>
      <c r="Y47" s="362"/>
      <c r="Z47" s="363">
        <v>0</v>
      </c>
      <c r="AA47" s="364"/>
      <c r="AB47" s="365"/>
      <c r="AC47" s="366"/>
      <c r="AD47" s="367"/>
      <c r="AE47" s="368">
        <v>0</v>
      </c>
      <c r="AF47" s="369">
        <f t="shared" si="10"/>
        <v>0</v>
      </c>
      <c r="AG47" s="370"/>
      <c r="AH47" s="371">
        <v>0</v>
      </c>
      <c r="AI47" s="370"/>
      <c r="AJ47" s="372">
        <v>0</v>
      </c>
      <c r="AK47" s="373"/>
      <c r="AL47" s="374"/>
      <c r="AM47" s="375"/>
      <c r="AN47" s="376"/>
      <c r="AO47" s="377"/>
      <c r="AP47" s="378"/>
      <c r="AQ47" s="379"/>
      <c r="AR47" s="380">
        <f t="shared" si="13"/>
        <v>0</v>
      </c>
      <c r="AS47" s="381"/>
      <c r="AT47" s="376"/>
      <c r="AU47" s="266">
        <v>0</v>
      </c>
      <c r="AV47" s="382"/>
      <c r="AW47" s="383"/>
      <c r="AX47" s="384"/>
      <c r="AY47" s="385">
        <v>0</v>
      </c>
      <c r="AZ47" s="385">
        <f t="shared" si="15"/>
        <v>0</v>
      </c>
      <c r="BA47" s="384"/>
      <c r="BB47" s="386"/>
      <c r="BC47" s="434"/>
      <c r="BD47" s="440"/>
      <c r="BE47" s="446"/>
      <c r="BF47" s="417"/>
      <c r="BG47" s="428"/>
      <c r="BH47" s="476"/>
      <c r="BI47" s="476">
        <f t="shared" si="1"/>
        <v>0</v>
      </c>
      <c r="BJ47" s="428" t="e">
        <f t="shared" si="2"/>
        <v>#DIV/0!</v>
      </c>
      <c r="BK47" s="456"/>
      <c r="BM47" s="511"/>
      <c r="BN47" s="508" t="e">
        <f t="shared" si="17"/>
        <v>#DIV/0!</v>
      </c>
      <c r="BO47" s="1095"/>
      <c r="BP47" s="1223"/>
      <c r="BQ47" s="1090"/>
      <c r="BR47" s="1090"/>
      <c r="BS47" s="1090"/>
    </row>
    <row r="48" spans="1:71" ht="15.5" x14ac:dyDescent="0.35">
      <c r="A48" s="2" t="s">
        <v>219</v>
      </c>
      <c r="B48" s="9"/>
      <c r="C48" s="181"/>
      <c r="D48" s="177"/>
      <c r="E48" s="6"/>
      <c r="F48" s="178"/>
      <c r="G48" s="123"/>
      <c r="H48" s="106"/>
      <c r="I48" s="127">
        <v>400</v>
      </c>
      <c r="J48" s="96"/>
      <c r="K48" s="77"/>
      <c r="L48" s="1195">
        <v>400</v>
      </c>
      <c r="M48" s="86"/>
      <c r="N48" s="88"/>
      <c r="O48" s="92">
        <v>175</v>
      </c>
      <c r="P48" s="93">
        <f t="shared" si="18"/>
        <v>0.4375</v>
      </c>
      <c r="Q48" s="179"/>
      <c r="R48" s="179"/>
      <c r="S48" s="127"/>
      <c r="T48" s="127"/>
      <c r="U48" s="113">
        <v>175</v>
      </c>
      <c r="V48" s="129">
        <f t="shared" si="6"/>
        <v>0.4375</v>
      </c>
      <c r="W48" s="117">
        <v>175</v>
      </c>
      <c r="X48" s="130">
        <f t="shared" si="7"/>
        <v>0.4375</v>
      </c>
      <c r="Y48" s="182"/>
      <c r="Z48" s="233">
        <v>225</v>
      </c>
      <c r="AA48" s="205"/>
      <c r="AB48" s="206">
        <f t="shared" si="8"/>
        <v>0</v>
      </c>
      <c r="AC48" s="226"/>
      <c r="AD48" s="229">
        <f t="shared" si="9"/>
        <v>0</v>
      </c>
      <c r="AE48" s="214"/>
      <c r="AF48" s="240">
        <f t="shared" si="10"/>
        <v>0</v>
      </c>
      <c r="AG48" s="242">
        <f t="shared" si="11"/>
        <v>0</v>
      </c>
      <c r="AH48" s="263">
        <v>0</v>
      </c>
      <c r="AI48" s="242">
        <f t="shared" si="12"/>
        <v>0</v>
      </c>
      <c r="AJ48" s="266">
        <v>1000</v>
      </c>
      <c r="AK48" s="216"/>
      <c r="AL48" s="246"/>
      <c r="AM48" s="268"/>
      <c r="AN48" s="271"/>
      <c r="AO48" s="279"/>
      <c r="AP48" s="304"/>
      <c r="AQ48" s="305"/>
      <c r="AR48" s="303">
        <f t="shared" si="13"/>
        <v>0</v>
      </c>
      <c r="AS48" s="306">
        <f t="shared" si="14"/>
        <v>0</v>
      </c>
      <c r="AT48" s="271"/>
      <c r="AU48" s="266">
        <v>500</v>
      </c>
      <c r="AV48" s="278"/>
      <c r="AW48" s="293">
        <v>0</v>
      </c>
      <c r="AX48" s="315">
        <f>AW48/AU48</f>
        <v>0</v>
      </c>
      <c r="AY48" s="335">
        <v>125</v>
      </c>
      <c r="AZ48" s="335">
        <f t="shared" si="15"/>
        <v>125</v>
      </c>
      <c r="BA48" s="315">
        <f t="shared" si="16"/>
        <v>0.25</v>
      </c>
      <c r="BB48" s="340">
        <v>1500</v>
      </c>
      <c r="BC48" s="434" t="s">
        <v>253</v>
      </c>
      <c r="BD48" s="440">
        <v>993.58</v>
      </c>
      <c r="BE48" s="446">
        <v>0.66</v>
      </c>
      <c r="BF48" s="417" t="e">
        <f>'Natwest Expenses'!#REF!+'Natwest Expenses'!#REF!</f>
        <v>#REF!</v>
      </c>
      <c r="BG48" s="428" t="e">
        <f>BF48/BB48</f>
        <v>#REF!</v>
      </c>
      <c r="BH48" s="476">
        <v>200</v>
      </c>
      <c r="BI48" s="476">
        <f t="shared" si="1"/>
        <v>1193.58</v>
      </c>
      <c r="BJ48" s="428">
        <f t="shared" si="2"/>
        <v>0.79571999999999998</v>
      </c>
      <c r="BK48" s="456">
        <v>1500</v>
      </c>
      <c r="BL48" s="460" t="s">
        <v>306</v>
      </c>
      <c r="BM48" s="509">
        <v>993.58</v>
      </c>
      <c r="BN48" s="510">
        <f t="shared" si="17"/>
        <v>0.66238666666666668</v>
      </c>
      <c r="BO48" s="1095">
        <v>1500</v>
      </c>
      <c r="BP48" s="1223"/>
      <c r="BQ48" s="1090"/>
      <c r="BR48" s="1090"/>
      <c r="BS48" s="1090"/>
    </row>
    <row r="49" spans="1:78" ht="15.5" hidden="1" x14ac:dyDescent="0.35">
      <c r="A49" s="341" t="s">
        <v>45</v>
      </c>
      <c r="B49" s="342"/>
      <c r="C49" s="343"/>
      <c r="D49" s="344"/>
      <c r="E49" s="345"/>
      <c r="F49" s="346"/>
      <c r="G49" s="347"/>
      <c r="H49" s="348"/>
      <c r="I49" s="349">
        <v>400</v>
      </c>
      <c r="J49" s="350"/>
      <c r="K49" s="351"/>
      <c r="L49" s="1195">
        <v>400</v>
      </c>
      <c r="M49" s="352"/>
      <c r="N49" s="353"/>
      <c r="O49" s="354"/>
      <c r="P49" s="355">
        <f t="shared" si="18"/>
        <v>0</v>
      </c>
      <c r="Q49" s="356"/>
      <c r="R49" s="356"/>
      <c r="S49" s="349"/>
      <c r="T49" s="349"/>
      <c r="U49" s="358">
        <v>1405.12</v>
      </c>
      <c r="V49" s="359">
        <f t="shared" si="6"/>
        <v>3.5127999999999999</v>
      </c>
      <c r="W49" s="360">
        <v>1405.12</v>
      </c>
      <c r="X49" s="361">
        <f t="shared" si="7"/>
        <v>3.5127999999999999</v>
      </c>
      <c r="Y49" s="362"/>
      <c r="Z49" s="363">
        <v>0</v>
      </c>
      <c r="AA49" s="364"/>
      <c r="AB49" s="365"/>
      <c r="AC49" s="366"/>
      <c r="AD49" s="367"/>
      <c r="AE49" s="368"/>
      <c r="AF49" s="369">
        <f t="shared" si="10"/>
        <v>0</v>
      </c>
      <c r="AG49" s="370"/>
      <c r="AH49" s="371">
        <v>0</v>
      </c>
      <c r="AI49" s="370"/>
      <c r="AJ49" s="372"/>
      <c r="AK49" s="373"/>
      <c r="AL49" s="374"/>
      <c r="AM49" s="375"/>
      <c r="AN49" s="376"/>
      <c r="AO49" s="377"/>
      <c r="AP49" s="378"/>
      <c r="AQ49" s="379"/>
      <c r="AR49" s="380">
        <f t="shared" si="13"/>
        <v>0</v>
      </c>
      <c r="AS49" s="381"/>
      <c r="AT49" s="376"/>
      <c r="AU49" s="266"/>
      <c r="AV49" s="382"/>
      <c r="AW49" s="383"/>
      <c r="AX49" s="384"/>
      <c r="AY49" s="385">
        <v>0</v>
      </c>
      <c r="AZ49" s="385">
        <f t="shared" si="15"/>
        <v>0</v>
      </c>
      <c r="BA49" s="384"/>
      <c r="BB49" s="386"/>
      <c r="BC49" s="434"/>
      <c r="BD49" s="440"/>
      <c r="BE49" s="446"/>
      <c r="BF49" s="417"/>
      <c r="BG49" s="428"/>
      <c r="BH49" s="476"/>
      <c r="BI49" s="476">
        <f t="shared" si="1"/>
        <v>0</v>
      </c>
      <c r="BJ49" s="428" t="e">
        <f t="shared" si="2"/>
        <v>#DIV/0!</v>
      </c>
      <c r="BK49" s="456"/>
      <c r="BM49" s="511"/>
      <c r="BN49" s="508" t="e">
        <f t="shared" si="17"/>
        <v>#DIV/0!</v>
      </c>
      <c r="BO49" s="1095"/>
      <c r="BP49" s="1223"/>
      <c r="BQ49" s="1090"/>
      <c r="BR49" s="1090"/>
      <c r="BS49" s="1090"/>
    </row>
    <row r="50" spans="1:78" ht="15.5" x14ac:dyDescent="0.35">
      <c r="A50" s="2" t="s">
        <v>46</v>
      </c>
      <c r="B50" s="9"/>
      <c r="C50" s="181"/>
      <c r="D50" s="177"/>
      <c r="E50" s="6"/>
      <c r="F50" s="178"/>
      <c r="G50" s="123"/>
      <c r="H50" s="106"/>
      <c r="I50" s="127"/>
      <c r="J50" s="96"/>
      <c r="K50" s="77"/>
      <c r="L50" s="1195">
        <f>4520+426.88</f>
        <v>4946.88</v>
      </c>
      <c r="M50" s="86"/>
      <c r="N50" s="88"/>
      <c r="O50" s="92"/>
      <c r="P50" s="93">
        <f t="shared" si="18"/>
        <v>0</v>
      </c>
      <c r="Q50" s="179"/>
      <c r="R50" s="179"/>
      <c r="S50" s="127"/>
      <c r="T50" s="127"/>
      <c r="U50" s="113"/>
      <c r="V50" s="129">
        <f t="shared" si="6"/>
        <v>0</v>
      </c>
      <c r="W50" s="117"/>
      <c r="X50" s="130">
        <f t="shared" si="7"/>
        <v>0</v>
      </c>
      <c r="Y50" s="182"/>
      <c r="Z50" s="233">
        <v>0</v>
      </c>
      <c r="AA50" s="205"/>
      <c r="AB50" s="206"/>
      <c r="AC50" s="226"/>
      <c r="AD50" s="229"/>
      <c r="AE50" s="214"/>
      <c r="AF50" s="240">
        <f t="shared" si="10"/>
        <v>0</v>
      </c>
      <c r="AG50" s="242"/>
      <c r="AH50" s="263">
        <v>0</v>
      </c>
      <c r="AI50" s="242"/>
      <c r="AJ50" s="266"/>
      <c r="AK50" s="216"/>
      <c r="AL50" s="246"/>
      <c r="AM50" s="268"/>
      <c r="AN50" s="271"/>
      <c r="AO50" s="279"/>
      <c r="AP50" s="304"/>
      <c r="AQ50" s="305"/>
      <c r="AR50" s="303">
        <f t="shared" si="13"/>
        <v>0</v>
      </c>
      <c r="AS50" s="306"/>
      <c r="AT50" s="271"/>
      <c r="AU50" s="266"/>
      <c r="AV50" s="278" t="s">
        <v>209</v>
      </c>
      <c r="AW50" s="293">
        <v>0</v>
      </c>
      <c r="AX50" s="315"/>
      <c r="AY50" s="335">
        <v>0</v>
      </c>
      <c r="AZ50" s="335">
        <f t="shared" si="15"/>
        <v>0</v>
      </c>
      <c r="BA50" s="315"/>
      <c r="BB50" s="340"/>
      <c r="BC50" s="434" t="s">
        <v>254</v>
      </c>
      <c r="BD50" s="440">
        <v>0</v>
      </c>
      <c r="BE50" s="446"/>
      <c r="BF50" s="417"/>
      <c r="BG50" s="428"/>
      <c r="BH50" s="476">
        <v>0</v>
      </c>
      <c r="BI50" s="476">
        <f t="shared" si="1"/>
        <v>0</v>
      </c>
      <c r="BJ50" s="428"/>
      <c r="BK50" s="456">
        <v>0</v>
      </c>
      <c r="BL50" s="310" t="s">
        <v>254</v>
      </c>
      <c r="BM50" s="511">
        <v>0</v>
      </c>
      <c r="BN50" s="510"/>
      <c r="BO50" s="1095"/>
      <c r="BP50" s="1223"/>
      <c r="BQ50" s="1090"/>
      <c r="BR50" s="1090"/>
      <c r="BS50" s="1090"/>
      <c r="BU50" s="7"/>
      <c r="BV50" s="7"/>
      <c r="BW50" s="7"/>
      <c r="BX50" s="327"/>
      <c r="BY50" s="2"/>
      <c r="BZ50" s="144"/>
    </row>
    <row r="51" spans="1:78" x14ac:dyDescent="0.35">
      <c r="A51" s="2" t="s">
        <v>47</v>
      </c>
      <c r="B51" s="10"/>
      <c r="E51" s="6"/>
      <c r="G51" s="123"/>
      <c r="H51" s="106"/>
      <c r="I51" s="127">
        <v>240</v>
      </c>
      <c r="J51" s="96"/>
      <c r="K51" s="77"/>
      <c r="L51" s="1195">
        <v>400</v>
      </c>
      <c r="M51" s="86"/>
      <c r="N51" s="88"/>
      <c r="O51" s="92"/>
      <c r="P51" s="93">
        <f t="shared" si="18"/>
        <v>0</v>
      </c>
      <c r="Q51" s="179"/>
      <c r="R51" s="179"/>
      <c r="S51" s="134"/>
      <c r="T51" s="134"/>
      <c r="U51" s="113"/>
      <c r="V51" s="129">
        <f t="shared" si="6"/>
        <v>0</v>
      </c>
      <c r="W51" s="117">
        <v>559</v>
      </c>
      <c r="X51" s="130">
        <f t="shared" si="7"/>
        <v>1.3975</v>
      </c>
      <c r="Y51" s="182">
        <v>560</v>
      </c>
      <c r="Z51" s="233">
        <v>72</v>
      </c>
      <c r="AA51" s="205"/>
      <c r="AB51" s="206">
        <f t="shared" si="8"/>
        <v>0</v>
      </c>
      <c r="AC51" s="226"/>
      <c r="AD51" s="229">
        <f t="shared" si="9"/>
        <v>0</v>
      </c>
      <c r="AE51" s="214"/>
      <c r="AF51" s="240">
        <f t="shared" si="10"/>
        <v>0</v>
      </c>
      <c r="AG51" s="242">
        <f t="shared" si="11"/>
        <v>0</v>
      </c>
      <c r="AH51" s="263">
        <v>136</v>
      </c>
      <c r="AI51" s="242">
        <f t="shared" si="12"/>
        <v>1.8888888888888888</v>
      </c>
      <c r="AJ51" s="266">
        <v>72</v>
      </c>
      <c r="AK51" s="216"/>
      <c r="AL51" s="246"/>
      <c r="AM51" s="268"/>
      <c r="AN51" s="271"/>
      <c r="AO51" s="279"/>
      <c r="AP51" s="304"/>
      <c r="AQ51" s="305">
        <v>72</v>
      </c>
      <c r="AR51" s="303">
        <f t="shared" si="13"/>
        <v>72</v>
      </c>
      <c r="AS51" s="306">
        <f t="shared" si="14"/>
        <v>0</v>
      </c>
      <c r="AT51" s="271"/>
      <c r="AU51" s="266">
        <v>75</v>
      </c>
      <c r="AV51" s="278"/>
      <c r="AW51" s="293">
        <v>0</v>
      </c>
      <c r="AX51" s="315">
        <f>AW51/AU51</f>
        <v>0</v>
      </c>
      <c r="AY51" s="335">
        <v>25</v>
      </c>
      <c r="AZ51" s="335">
        <f t="shared" si="15"/>
        <v>25</v>
      </c>
      <c r="BA51" s="315">
        <f t="shared" si="16"/>
        <v>0.33333333333333331</v>
      </c>
      <c r="BB51" s="340">
        <v>75</v>
      </c>
      <c r="BC51" s="434"/>
      <c r="BD51" s="440">
        <v>0</v>
      </c>
      <c r="BE51" s="446"/>
      <c r="BF51" s="417"/>
      <c r="BG51" s="428">
        <f>BF51/BB51</f>
        <v>0</v>
      </c>
      <c r="BH51" s="476">
        <v>0</v>
      </c>
      <c r="BI51" s="476">
        <f t="shared" si="1"/>
        <v>0</v>
      </c>
      <c r="BJ51" s="428">
        <f t="shared" si="2"/>
        <v>0</v>
      </c>
      <c r="BK51" s="456">
        <v>250</v>
      </c>
      <c r="BL51" s="310" t="s">
        <v>328</v>
      </c>
      <c r="BM51" s="511">
        <v>0</v>
      </c>
      <c r="BN51" s="508">
        <f t="shared" si="17"/>
        <v>0</v>
      </c>
      <c r="BO51" s="1095">
        <v>250</v>
      </c>
      <c r="BP51" s="1223">
        <v>560</v>
      </c>
      <c r="BQ51" s="1090"/>
      <c r="BR51" s="1090"/>
      <c r="BS51" s="1090"/>
      <c r="BU51" s="30"/>
      <c r="BV51" s="30"/>
      <c r="BW51" s="2"/>
      <c r="BX51" s="73"/>
      <c r="BY51" s="4"/>
      <c r="BZ51" s="145"/>
    </row>
    <row r="52" spans="1:78" x14ac:dyDescent="0.35">
      <c r="A52" s="2" t="s">
        <v>118</v>
      </c>
      <c r="B52" s="10"/>
      <c r="E52" s="6"/>
      <c r="G52" s="123"/>
      <c r="H52" s="106"/>
      <c r="I52" s="127"/>
      <c r="J52" s="96"/>
      <c r="K52" s="77"/>
      <c r="L52" s="1195"/>
      <c r="M52" s="86"/>
      <c r="N52" s="88"/>
      <c r="O52" s="92"/>
      <c r="P52" s="93"/>
      <c r="Q52" s="179" t="s">
        <v>119</v>
      </c>
      <c r="R52" s="179"/>
      <c r="S52" s="134"/>
      <c r="T52" s="134"/>
      <c r="U52" s="113"/>
      <c r="V52" s="129"/>
      <c r="W52" s="117"/>
      <c r="X52" s="130"/>
      <c r="Y52" s="182"/>
      <c r="Z52" s="233">
        <v>1000</v>
      </c>
      <c r="AA52" s="205">
        <v>34.299999999999997</v>
      </c>
      <c r="AB52" s="206">
        <f t="shared" si="8"/>
        <v>3.4299999999999997E-2</v>
      </c>
      <c r="AC52" s="226">
        <v>34.299999999999997</v>
      </c>
      <c r="AD52" s="229">
        <f t="shared" si="9"/>
        <v>3.4299999999999997E-2</v>
      </c>
      <c r="AE52" s="214"/>
      <c r="AF52" s="240">
        <f t="shared" si="10"/>
        <v>34.299999999999997</v>
      </c>
      <c r="AG52" s="242">
        <f t="shared" si="11"/>
        <v>3.4299999999999997E-2</v>
      </c>
      <c r="AH52" s="263">
        <v>1447.3</v>
      </c>
      <c r="AI52" s="242">
        <f t="shared" si="12"/>
        <v>1.4473</v>
      </c>
      <c r="AJ52" s="266">
        <v>500</v>
      </c>
      <c r="AK52" s="216" t="s">
        <v>135</v>
      </c>
      <c r="AL52" s="246"/>
      <c r="AM52" s="268"/>
      <c r="AN52" s="271">
        <v>337.5</v>
      </c>
      <c r="AO52" s="279">
        <v>357.5</v>
      </c>
      <c r="AP52" s="304">
        <v>337.5</v>
      </c>
      <c r="AQ52" s="305">
        <v>140</v>
      </c>
      <c r="AR52" s="303">
        <f t="shared" si="13"/>
        <v>497.5</v>
      </c>
      <c r="AS52" s="306">
        <f t="shared" si="14"/>
        <v>0.67500000000000004</v>
      </c>
      <c r="AT52" s="271"/>
      <c r="AU52" s="266">
        <v>500</v>
      </c>
      <c r="AV52" s="73"/>
      <c r="AW52" s="293">
        <v>0</v>
      </c>
      <c r="AX52" s="315">
        <f>AW52/AU52</f>
        <v>0</v>
      </c>
      <c r="AY52" s="335">
        <v>100</v>
      </c>
      <c r="AZ52" s="335">
        <f t="shared" si="15"/>
        <v>100</v>
      </c>
      <c r="BA52" s="315">
        <f t="shared" si="16"/>
        <v>0.2</v>
      </c>
      <c r="BB52" s="340">
        <v>250</v>
      </c>
      <c r="BC52" s="434"/>
      <c r="BD52" s="440">
        <v>1005.75</v>
      </c>
      <c r="BE52" s="446">
        <v>4.0199999999999996</v>
      </c>
      <c r="BF52" s="417">
        <f>'Natwest Expenses'!AO132</f>
        <v>1773.1599999999996</v>
      </c>
      <c r="BG52" s="428">
        <f>BF52/BB52</f>
        <v>7.0926399999999985</v>
      </c>
      <c r="BH52" s="476">
        <v>0</v>
      </c>
      <c r="BI52" s="476">
        <f t="shared" si="1"/>
        <v>1005.75</v>
      </c>
      <c r="BJ52" s="428">
        <f t="shared" si="2"/>
        <v>4.0229999999999997</v>
      </c>
      <c r="BK52" s="456">
        <v>1000</v>
      </c>
      <c r="BL52" s="310" t="s">
        <v>300</v>
      </c>
      <c r="BM52" s="511">
        <v>-250</v>
      </c>
      <c r="BN52" s="510">
        <f t="shared" si="17"/>
        <v>-1</v>
      </c>
      <c r="BO52" s="1095">
        <v>1000</v>
      </c>
      <c r="BP52" s="1223">
        <v>41.04</v>
      </c>
      <c r="BQ52" s="1090"/>
      <c r="BR52" s="1090"/>
      <c r="BS52" s="1090"/>
      <c r="BU52" s="2"/>
      <c r="BV52" s="2"/>
      <c r="BW52" s="2"/>
      <c r="BX52" s="212"/>
      <c r="BY52" s="4"/>
      <c r="BZ52" s="31"/>
    </row>
    <row r="53" spans="1:78" ht="15" hidden="1" thickBot="1" x14ac:dyDescent="0.4">
      <c r="A53" s="341" t="s">
        <v>129</v>
      </c>
      <c r="B53" s="389"/>
      <c r="C53" s="357"/>
      <c r="D53" s="357"/>
      <c r="E53" s="357"/>
      <c r="F53" s="357"/>
      <c r="G53" s="390"/>
      <c r="H53" s="391"/>
      <c r="I53" s="357"/>
      <c r="J53" s="392"/>
      <c r="K53" s="392"/>
      <c r="M53" s="393"/>
      <c r="N53" s="394"/>
      <c r="O53" s="395"/>
      <c r="P53" s="394"/>
      <c r="Q53" s="393"/>
      <c r="R53" s="393"/>
      <c r="S53" s="357"/>
      <c r="T53" s="357"/>
      <c r="U53" s="396"/>
      <c r="V53" s="396"/>
      <c r="W53" s="391"/>
      <c r="X53" s="392"/>
      <c r="Y53" s="362">
        <f>SUM(Y8:Y52)</f>
        <v>10461.6</v>
      </c>
      <c r="Z53" s="363">
        <v>5500</v>
      </c>
      <c r="AA53" s="364"/>
      <c r="AB53" s="365">
        <f t="shared" si="8"/>
        <v>0</v>
      </c>
      <c r="AC53" s="366"/>
      <c r="AD53" s="367">
        <f t="shared" si="9"/>
        <v>0</v>
      </c>
      <c r="AE53" s="368">
        <v>0</v>
      </c>
      <c r="AF53" s="369">
        <f t="shared" si="10"/>
        <v>0</v>
      </c>
      <c r="AG53" s="370">
        <f t="shared" si="11"/>
        <v>0</v>
      </c>
      <c r="AH53" s="371">
        <v>0</v>
      </c>
      <c r="AI53" s="370">
        <f t="shared" si="12"/>
        <v>0</v>
      </c>
      <c r="AJ53" s="372"/>
      <c r="AK53" s="373"/>
      <c r="AL53" s="374"/>
      <c r="AM53" s="375"/>
      <c r="AN53" s="397"/>
      <c r="AO53" s="377"/>
      <c r="AP53" s="378"/>
      <c r="AQ53" s="379"/>
      <c r="AR53" s="380">
        <f t="shared" si="13"/>
        <v>0</v>
      </c>
      <c r="AS53" s="381"/>
      <c r="AT53" s="376"/>
      <c r="AU53" s="266"/>
      <c r="AV53" s="398"/>
      <c r="AW53" s="383"/>
      <c r="AX53" s="384"/>
      <c r="AY53" s="385">
        <v>0</v>
      </c>
      <c r="AZ53" s="385">
        <f t="shared" si="15"/>
        <v>0</v>
      </c>
      <c r="BA53" s="384"/>
      <c r="BB53" s="386"/>
      <c r="BC53" s="434"/>
      <c r="BD53" s="440"/>
      <c r="BE53" s="446"/>
      <c r="BF53" s="417"/>
      <c r="BG53" s="428"/>
      <c r="BH53" s="476"/>
      <c r="BI53" s="476"/>
      <c r="BJ53" s="428" t="e">
        <f t="shared" si="2"/>
        <v>#DIV/0!</v>
      </c>
      <c r="BK53" s="456"/>
      <c r="BM53" s="543"/>
      <c r="BN53" s="545" t="e">
        <f t="shared" si="17"/>
        <v>#DIV/0!</v>
      </c>
      <c r="BO53" s="1095"/>
      <c r="BP53" s="1223"/>
      <c r="BQ53" s="1090"/>
      <c r="BR53" s="1090"/>
      <c r="BS53" s="1090"/>
      <c r="BU53" s="2"/>
      <c r="BV53" s="2"/>
      <c r="BW53" s="4"/>
      <c r="BX53" s="283"/>
      <c r="BY53" s="4"/>
      <c r="BZ53" s="18"/>
    </row>
    <row r="54" spans="1:78" ht="16.5" hidden="1" customHeight="1" x14ac:dyDescent="0.35">
      <c r="A54" s="341"/>
      <c r="B54" s="389"/>
      <c r="C54" s="357"/>
      <c r="D54" s="357"/>
      <c r="E54" s="357"/>
      <c r="F54" s="357"/>
      <c r="G54" s="390"/>
      <c r="H54" s="391"/>
      <c r="I54" s="357"/>
      <c r="J54" s="392"/>
      <c r="K54" s="392"/>
      <c r="M54" s="393"/>
      <c r="N54" s="394"/>
      <c r="O54" s="395"/>
      <c r="P54" s="394"/>
      <c r="Q54" s="393"/>
      <c r="R54" s="393"/>
      <c r="S54" s="357"/>
      <c r="T54" s="357"/>
      <c r="U54" s="396"/>
      <c r="V54" s="396"/>
      <c r="W54" s="391"/>
      <c r="X54" s="392"/>
      <c r="Y54" s="362"/>
      <c r="Z54" s="363"/>
      <c r="AA54" s="371"/>
      <c r="AB54" s="365"/>
      <c r="AC54" s="399"/>
      <c r="AD54" s="367"/>
      <c r="AE54" s="368"/>
      <c r="AF54" s="369"/>
      <c r="AG54" s="370"/>
      <c r="AH54" s="371"/>
      <c r="AI54" s="370"/>
      <c r="AJ54" s="372"/>
      <c r="AK54" s="373"/>
      <c r="AL54" s="374"/>
      <c r="AM54" s="375"/>
      <c r="AN54" s="400"/>
      <c r="AO54" s="401"/>
      <c r="AP54" s="378"/>
      <c r="AQ54" s="379"/>
      <c r="AR54" s="402"/>
      <c r="AS54" s="381"/>
      <c r="AT54" s="397"/>
      <c r="AU54" s="266"/>
      <c r="AV54" s="403" t="s">
        <v>221</v>
      </c>
      <c r="AW54" s="404"/>
      <c r="AX54" s="405"/>
      <c r="AY54" s="406">
        <v>0</v>
      </c>
      <c r="AZ54" s="406">
        <f t="shared" si="15"/>
        <v>0</v>
      </c>
      <c r="BA54" s="384"/>
      <c r="BB54" s="407"/>
      <c r="BC54" s="438"/>
      <c r="BD54" s="444"/>
      <c r="BE54" s="449"/>
      <c r="BF54" s="417"/>
      <c r="BG54" s="429"/>
      <c r="BH54" s="478"/>
      <c r="BI54" s="478"/>
      <c r="BJ54" s="428" t="e">
        <f t="shared" si="2"/>
        <v>#DIV/0!</v>
      </c>
      <c r="BK54" s="457"/>
      <c r="BM54" s="543"/>
      <c r="BN54" s="546" t="e">
        <f t="shared" si="17"/>
        <v>#DIV/0!</v>
      </c>
      <c r="BO54" s="1095"/>
      <c r="BP54" s="1223"/>
      <c r="BQ54" s="1090"/>
      <c r="BR54" s="1090"/>
      <c r="BS54" s="1090"/>
      <c r="BU54" s="2"/>
      <c r="BV54" s="2"/>
      <c r="BW54" s="4"/>
      <c r="BX54" s="143"/>
      <c r="BY54" s="4"/>
      <c r="BZ54" s="18"/>
    </row>
    <row r="55" spans="1:78" ht="16.5" customHeight="1" thickBot="1" x14ac:dyDescent="0.4">
      <c r="A55" s="2" t="s">
        <v>347</v>
      </c>
      <c r="B55" s="517"/>
      <c r="H55" s="518"/>
      <c r="J55" s="108"/>
      <c r="K55" s="108"/>
      <c r="O55" s="519"/>
      <c r="W55" s="518"/>
      <c r="X55" s="108"/>
      <c r="Y55" s="182"/>
      <c r="Z55" s="520"/>
      <c r="AA55" s="521"/>
      <c r="AB55" s="522"/>
      <c r="AC55" s="523"/>
      <c r="AD55" s="524"/>
      <c r="AE55" s="525"/>
      <c r="AF55" s="526"/>
      <c r="AG55" s="527"/>
      <c r="AH55" s="521"/>
      <c r="AI55" s="527"/>
      <c r="AJ55" s="266"/>
      <c r="AK55" s="528"/>
      <c r="AL55" s="529"/>
      <c r="AM55" s="530"/>
      <c r="AN55" s="531"/>
      <c r="AO55" s="532"/>
      <c r="AP55" s="304"/>
      <c r="AQ55" s="305"/>
      <c r="AR55" s="533"/>
      <c r="AS55" s="306"/>
      <c r="AT55" s="534"/>
      <c r="AU55" s="266"/>
      <c r="AV55" s="535"/>
      <c r="AW55" s="536"/>
      <c r="AX55" s="537"/>
      <c r="AY55" s="538"/>
      <c r="AZ55" s="538"/>
      <c r="BA55" s="539"/>
      <c r="BB55" s="540"/>
      <c r="BC55" s="438"/>
      <c r="BD55" s="444"/>
      <c r="BE55" s="449"/>
      <c r="BF55" s="417"/>
      <c r="BG55" s="429"/>
      <c r="BH55" s="478"/>
      <c r="BI55" s="478"/>
      <c r="BJ55" s="428"/>
      <c r="BK55" s="457"/>
      <c r="BM55" s="544">
        <v>1282.98</v>
      </c>
      <c r="BN55" s="547"/>
      <c r="BO55" s="1096"/>
      <c r="BP55" s="1224">
        <v>1288.1500000000001</v>
      </c>
      <c r="BQ55" s="1090"/>
      <c r="BR55" s="1090"/>
      <c r="BS55" s="1090"/>
      <c r="BU55" s="2"/>
      <c r="BV55" s="2"/>
      <c r="BW55" s="4"/>
      <c r="BX55" s="143"/>
      <c r="BY55" s="4"/>
      <c r="BZ55" s="18"/>
    </row>
    <row r="56" spans="1:78" ht="16" thickBot="1" x14ac:dyDescent="0.4">
      <c r="A56" s="2" t="s">
        <v>301</v>
      </c>
      <c r="B56" s="119">
        <f>SUM(B8:B45)</f>
        <v>33693.119999999995</v>
      </c>
      <c r="C56" s="183">
        <f>SUM(C8:C45)</f>
        <v>6004.5999999999995</v>
      </c>
      <c r="D56" s="184">
        <f>C56/B56</f>
        <v>0.17821442478464447</v>
      </c>
      <c r="E56" s="185">
        <f>SUM(E8:E45)</f>
        <v>19320.38</v>
      </c>
      <c r="F56" s="186">
        <f>E56/B56</f>
        <v>0.57342211110161379</v>
      </c>
      <c r="G56" s="187">
        <f>SUM(G8:G51)</f>
        <v>23017.535800000001</v>
      </c>
      <c r="H56" s="188">
        <f>SUM(H8:H51)</f>
        <v>25398.520000000004</v>
      </c>
      <c r="I56" s="189">
        <f>SUM(I8:I51)</f>
        <v>36813.130000000005</v>
      </c>
      <c r="J56" s="190">
        <f>SUM(J8:J51)</f>
        <v>26238.91</v>
      </c>
      <c r="K56" s="98"/>
      <c r="L56" s="1197">
        <f>SUM(L8:L51)</f>
        <v>34120</v>
      </c>
      <c r="M56" s="191">
        <f>SUM(M8:M51)</f>
        <v>3205.3799999999997</v>
      </c>
      <c r="N56" s="192">
        <f>M56/L56</f>
        <v>9.3944314185228597E-2</v>
      </c>
      <c r="O56" s="193">
        <f>SUM(O4:O52)</f>
        <v>8649.98</v>
      </c>
      <c r="P56" s="194">
        <f>O56/L56</f>
        <v>0.25351641266119579</v>
      </c>
      <c r="Q56" s="195"/>
      <c r="R56" s="195"/>
      <c r="S56" s="13"/>
      <c r="T56" s="13"/>
      <c r="U56" s="196">
        <f>SUM(U8:U52)</f>
        <v>13741.61</v>
      </c>
      <c r="V56" s="197">
        <f>U56/L56</f>
        <v>0.40274355216881597</v>
      </c>
      <c r="W56" s="198">
        <f>SUM(W8:W52)</f>
        <v>23218.289999999997</v>
      </c>
      <c r="X56" s="199">
        <f>W56/L56</f>
        <v>0.68048915592028125</v>
      </c>
      <c r="Y56" s="200"/>
      <c r="Z56" s="235">
        <f>SUM(Z8:Z53)</f>
        <v>32525.16</v>
      </c>
      <c r="AA56" s="207">
        <f>SUM(AA8:AA53)</f>
        <v>4512.3899999999994</v>
      </c>
      <c r="AB56" s="208">
        <f>AA56/Z56</f>
        <v>0.13873536671303074</v>
      </c>
      <c r="AC56" s="227">
        <f>SUM(AC8:AC53)</f>
        <v>11454.35</v>
      </c>
      <c r="AD56" s="230">
        <f>AC56/Z56</f>
        <v>0.35216890554881208</v>
      </c>
      <c r="AE56" s="223">
        <f>SUM(AE5:AE53)</f>
        <v>17099.400000000001</v>
      </c>
      <c r="AF56" s="241">
        <f t="shared" si="10"/>
        <v>28553.75</v>
      </c>
      <c r="AG56" s="243">
        <f t="shared" si="11"/>
        <v>0.87789729550907669</v>
      </c>
      <c r="AH56" s="264">
        <f>SUM(AH8:AH53)</f>
        <v>22106.93</v>
      </c>
      <c r="AI56" s="243">
        <f>AH56/Z56</f>
        <v>0.6796870484265104</v>
      </c>
      <c r="AJ56" s="284">
        <f>SUM(AJ5:AJ54)</f>
        <v>35365</v>
      </c>
      <c r="AK56" s="217"/>
      <c r="AL56" s="247">
        <f>SUM(AL8:AL53)</f>
        <v>9667.6</v>
      </c>
      <c r="AM56" s="255">
        <f>SUM(AM8:AM53)</f>
        <v>3274.7099999999996</v>
      </c>
      <c r="AN56" s="272">
        <f>SUM(AN8:AN53)</f>
        <v>19595.010000000002</v>
      </c>
      <c r="AO56" s="272" t="e">
        <f>SUM(AO8:AO54)</f>
        <v>#REF!</v>
      </c>
      <c r="AP56" s="307">
        <f>SUM(AP5:AP54)</f>
        <v>28984.82</v>
      </c>
      <c r="AQ56" s="307">
        <f>SUM(AQ8:AQ54)</f>
        <v>6665.3833333333341</v>
      </c>
      <c r="AR56" s="307" t="e">
        <f>SUM(AR8:AR54)</f>
        <v>#REF!</v>
      </c>
      <c r="AS56" s="308">
        <f t="shared" si="14"/>
        <v>0.81959055563410155</v>
      </c>
      <c r="AT56" s="272"/>
      <c r="AU56" s="284">
        <f>SUM(AU5:AU54)</f>
        <v>33849</v>
      </c>
      <c r="AV56" s="73"/>
      <c r="AW56" s="295">
        <f>SUM(AW6:AW54)</f>
        <v>24479.18</v>
      </c>
      <c r="AX56" s="313">
        <f>AW56/AU56</f>
        <v>0.72318768648999976</v>
      </c>
      <c r="AY56" s="336">
        <f>SUM(AY8:AY54)</f>
        <v>7870.83</v>
      </c>
      <c r="AZ56" s="336">
        <f>SUM(AZ8:AZ54)</f>
        <v>31726.07</v>
      </c>
      <c r="BA56" s="313"/>
      <c r="BB56" s="408">
        <f>SUM(BB8:BB54)</f>
        <v>33603.5</v>
      </c>
      <c r="BC56" s="431"/>
      <c r="BD56" s="450">
        <f>SUM(BD8:BD54)</f>
        <v>19503.2</v>
      </c>
      <c r="BE56" s="451">
        <v>0.57999999999999996</v>
      </c>
      <c r="BF56" s="420" t="e">
        <f>SUM(BF8:BF54)</f>
        <v>#REF!</v>
      </c>
      <c r="BG56" s="426" t="e">
        <f>BF56/BB56</f>
        <v>#REF!</v>
      </c>
      <c r="BH56" s="479">
        <f>SUM(BH7:BH52)</f>
        <v>5021.2780000000002</v>
      </c>
      <c r="BI56" s="479">
        <f>SUM(BI7:BI52)</f>
        <v>24524.477999999996</v>
      </c>
      <c r="BJ56" s="426">
        <f t="shared" si="2"/>
        <v>0.72981915574270528</v>
      </c>
      <c r="BK56" s="458">
        <f>SUM(BK8:BK52)</f>
        <v>30602.404399999999</v>
      </c>
      <c r="BL56" s="458"/>
      <c r="BM56" s="541">
        <f>SUM(BM8:BM55)</f>
        <v>25563.200000000001</v>
      </c>
      <c r="BN56" s="542">
        <f t="shared" si="17"/>
        <v>0.76073028107191221</v>
      </c>
      <c r="BO56" s="1097">
        <f>SUM(BO8:BO52)</f>
        <v>30602.399999999998</v>
      </c>
      <c r="BP56" s="1225">
        <f>SUM(BP8:BP55)</f>
        <v>31094.25</v>
      </c>
      <c r="BQ56" s="1091"/>
      <c r="BR56" s="1091"/>
      <c r="BS56" s="1091"/>
      <c r="BU56" s="2"/>
      <c r="BV56" s="2"/>
      <c r="BW56" s="2"/>
      <c r="BX56" s="143"/>
      <c r="BY56" s="4"/>
      <c r="BZ56" s="18"/>
    </row>
    <row r="57" spans="1:78" ht="15" thickBot="1" x14ac:dyDescent="0.4">
      <c r="A57" s="2" t="s">
        <v>243</v>
      </c>
      <c r="B57" s="11"/>
      <c r="E57" s="12"/>
      <c r="F57" s="13"/>
      <c r="G57" s="124"/>
      <c r="O57" s="146"/>
      <c r="P57" s="147"/>
      <c r="W57" s="148"/>
      <c r="Y57" s="101"/>
      <c r="AI57" s="265"/>
      <c r="AL57" s="110"/>
      <c r="AM57" s="110"/>
      <c r="AU57" s="326">
        <v>45849</v>
      </c>
      <c r="AV57" s="277"/>
      <c r="AW57" s="7"/>
      <c r="AX57" s="7"/>
      <c r="AY57" s="332"/>
      <c r="AZ57" s="7"/>
      <c r="BA57" s="7"/>
      <c r="BB57" s="326">
        <v>45849</v>
      </c>
      <c r="BD57" s="430">
        <v>45849</v>
      </c>
      <c r="BF57" s="413">
        <v>45849</v>
      </c>
      <c r="BI57" s="413">
        <v>45849</v>
      </c>
      <c r="BK57" s="1199">
        <v>49831</v>
      </c>
      <c r="BL57" s="463"/>
      <c r="BM57" s="506">
        <v>45849</v>
      </c>
      <c r="BN57" s="502"/>
      <c r="BO57" s="1092">
        <v>49831</v>
      </c>
      <c r="BP57" s="1201"/>
      <c r="BQ57" s="1092"/>
      <c r="BR57" s="1092"/>
      <c r="BS57" s="1092"/>
      <c r="BT57" s="144"/>
      <c r="BU57" s="2"/>
      <c r="BV57" s="2"/>
      <c r="BW57" s="2"/>
      <c r="BX57" s="73"/>
      <c r="BY57" s="4"/>
      <c r="BZ57" s="18"/>
    </row>
    <row r="58" spans="1:78" x14ac:dyDescent="0.35">
      <c r="S58" s="24" t="s">
        <v>98</v>
      </c>
      <c r="T58" s="71"/>
      <c r="Y58" s="101"/>
      <c r="BC58" s="311"/>
      <c r="BD58" s="311"/>
      <c r="BE58" s="311"/>
      <c r="BF58" s="421"/>
      <c r="BG58" s="421"/>
      <c r="BH58" s="421"/>
      <c r="BI58" s="421"/>
      <c r="BJ58" s="421"/>
      <c r="BK58" s="210"/>
      <c r="BL58" s="464"/>
      <c r="BM58" s="464"/>
      <c r="BN58" s="503"/>
      <c r="BO58" s="145"/>
      <c r="BP58" s="1202"/>
      <c r="BQ58" s="145"/>
      <c r="BR58" s="145"/>
      <c r="BS58" s="145"/>
      <c r="BT58" s="145"/>
      <c r="BU58" s="2"/>
      <c r="BV58" s="2"/>
      <c r="BW58" s="4"/>
      <c r="BX58" s="283"/>
      <c r="BY58" s="2"/>
      <c r="BZ58" s="18"/>
    </row>
    <row r="59" spans="1:78" x14ac:dyDescent="0.35">
      <c r="A59" s="14"/>
      <c r="S59" s="17"/>
      <c r="T59" s="67"/>
      <c r="Y59" s="101"/>
      <c r="BU59" s="2"/>
      <c r="BV59" s="2"/>
      <c r="BW59" s="219"/>
      <c r="BX59" s="283"/>
      <c r="BY59" s="4"/>
      <c r="BZ59" s="18"/>
    </row>
    <row r="60" spans="1:78" x14ac:dyDescent="0.35">
      <c r="A60" s="14"/>
      <c r="B60" s="83"/>
      <c r="S60" s="20"/>
      <c r="T60" s="68"/>
      <c r="Y60" s="101"/>
      <c r="AU60" s="280">
        <f>PMT(3%,30,200000)</f>
        <v>-10203.851864050515</v>
      </c>
      <c r="AV60" s="219" t="s">
        <v>215</v>
      </c>
      <c r="BU60" s="2"/>
      <c r="BV60" s="2"/>
      <c r="BW60" s="2"/>
      <c r="BX60" s="73"/>
      <c r="BY60" s="4"/>
      <c r="BZ60" s="328"/>
    </row>
    <row r="61" spans="1:78" x14ac:dyDescent="0.35">
      <c r="A61" s="7"/>
      <c r="B61" s="2"/>
      <c r="C61" s="16"/>
      <c r="D61" s="23"/>
      <c r="E61" s="66"/>
      <c r="AV61" s="18" t="s">
        <v>220</v>
      </c>
      <c r="BU61" s="2"/>
      <c r="BV61" s="2"/>
      <c r="BW61" s="2"/>
      <c r="BX61" s="73"/>
      <c r="BY61" s="4"/>
      <c r="BZ61" s="329"/>
    </row>
    <row r="62" spans="1:78" x14ac:dyDescent="0.35">
      <c r="A62" s="14"/>
      <c r="BU62" s="2"/>
      <c r="BV62" s="2"/>
      <c r="BW62" s="2"/>
      <c r="BX62" s="73"/>
      <c r="BY62" s="2"/>
      <c r="BZ62" s="330"/>
    </row>
    <row r="63" spans="1:78" x14ac:dyDescent="0.35">
      <c r="A63" s="136"/>
      <c r="B63" s="137"/>
      <c r="I63" s="7"/>
      <c r="J63" s="99"/>
      <c r="K63" s="99"/>
      <c r="S63" s="7"/>
      <c r="T63" s="7"/>
      <c r="U63" s="101"/>
      <c r="V63" s="101"/>
      <c r="W63" s="110"/>
      <c r="X63" s="101"/>
      <c r="Y63" s="29"/>
      <c r="BU63" s="7"/>
      <c r="BV63" s="7"/>
      <c r="BW63" s="2"/>
      <c r="BX63" s="73"/>
      <c r="BY63" s="7"/>
      <c r="BZ63" s="11"/>
    </row>
    <row r="64" spans="1:78" x14ac:dyDescent="0.35">
      <c r="B64" s="138"/>
      <c r="I64" s="30"/>
      <c r="J64" s="100"/>
      <c r="K64" s="100"/>
      <c r="S64" s="2"/>
      <c r="T64" s="2"/>
      <c r="U64" s="110"/>
      <c r="V64" s="111"/>
      <c r="W64" s="112"/>
      <c r="X64" s="111"/>
      <c r="Y64" s="31"/>
      <c r="BU64" s="7"/>
      <c r="BV64" s="7"/>
      <c r="BW64" s="2"/>
      <c r="BX64" s="73"/>
      <c r="BY64" s="7"/>
      <c r="BZ64" s="145"/>
    </row>
    <row r="65" spans="1:78" x14ac:dyDescent="0.35">
      <c r="B65" s="139"/>
      <c r="I65" s="2"/>
      <c r="J65" s="101"/>
      <c r="K65" s="101"/>
      <c r="S65" s="2"/>
      <c r="T65" s="2"/>
      <c r="U65" s="110"/>
      <c r="V65" s="111"/>
      <c r="W65" s="112"/>
      <c r="X65" s="111"/>
      <c r="Y65" s="31"/>
      <c r="BU65" s="2"/>
      <c r="BV65" s="2"/>
      <c r="BW65" s="2"/>
      <c r="BX65" s="73"/>
      <c r="BY65" s="2"/>
      <c r="BZ65" s="144"/>
    </row>
    <row r="66" spans="1:78" x14ac:dyDescent="0.35">
      <c r="A66" s="14"/>
      <c r="B66" s="83"/>
      <c r="I66" s="2"/>
      <c r="J66" s="101"/>
      <c r="K66" s="101"/>
      <c r="S66" s="2"/>
      <c r="T66" s="4"/>
      <c r="U66" s="112"/>
      <c r="V66" s="111"/>
      <c r="W66" s="112"/>
      <c r="X66" s="111"/>
      <c r="Y66" s="118"/>
      <c r="BU66" s="2"/>
      <c r="BV66" s="2"/>
      <c r="BW66" s="2"/>
      <c r="BX66" s="73"/>
      <c r="BY66" s="2"/>
      <c r="BZ66" s="144"/>
    </row>
    <row r="67" spans="1:78" x14ac:dyDescent="0.35">
      <c r="A67" s="7"/>
      <c r="B67" s="2"/>
      <c r="I67" s="2"/>
      <c r="J67" s="101"/>
      <c r="K67" s="101"/>
      <c r="S67" s="2"/>
      <c r="T67" s="2"/>
      <c r="U67" s="112"/>
      <c r="V67" s="111"/>
      <c r="W67" s="112"/>
      <c r="X67" s="111"/>
      <c r="Y67" s="118"/>
      <c r="BU67" s="2"/>
      <c r="BV67" s="2"/>
      <c r="BW67" s="2"/>
      <c r="BX67" s="73"/>
      <c r="BY67" s="2"/>
      <c r="BZ67" s="31"/>
    </row>
    <row r="68" spans="1:78" x14ac:dyDescent="0.35">
      <c r="I68" s="2"/>
      <c r="J68" s="101"/>
      <c r="K68" s="101"/>
      <c r="S68" s="2"/>
      <c r="T68" s="2"/>
      <c r="U68" s="110"/>
      <c r="V68" s="111"/>
      <c r="W68" s="112"/>
      <c r="X68" s="111"/>
      <c r="Y68" s="118"/>
      <c r="BU68" s="2"/>
      <c r="BV68" s="2"/>
      <c r="BW68" s="2"/>
      <c r="BX68" s="73"/>
      <c r="BY68" s="2"/>
      <c r="BZ68" s="144"/>
    </row>
    <row r="69" spans="1:78" x14ac:dyDescent="0.35">
      <c r="A69" s="135"/>
      <c r="B69" s="137"/>
      <c r="I69" s="2"/>
      <c r="J69" s="101"/>
      <c r="K69" s="101"/>
      <c r="S69" s="2"/>
      <c r="T69" s="4"/>
      <c r="U69" s="112"/>
      <c r="V69" s="111"/>
      <c r="W69" s="112"/>
      <c r="X69" s="111"/>
      <c r="Y69" s="118"/>
      <c r="BU69" s="7"/>
      <c r="BV69" s="7"/>
      <c r="BW69" s="2"/>
      <c r="BX69" s="73"/>
      <c r="BY69" s="7"/>
      <c r="BZ69" s="33"/>
    </row>
    <row r="70" spans="1:78" x14ac:dyDescent="0.35">
      <c r="C70" s="138">
        <v>30000</v>
      </c>
      <c r="I70" s="2"/>
      <c r="J70" s="101"/>
      <c r="K70" s="101"/>
      <c r="S70" s="2"/>
      <c r="T70" s="2"/>
      <c r="U70" s="112"/>
      <c r="V70" s="111"/>
      <c r="W70" s="112"/>
      <c r="X70" s="111"/>
      <c r="Y70" s="118"/>
      <c r="BU70" s="4"/>
      <c r="BV70" s="4"/>
      <c r="BW70" s="210"/>
      <c r="BX70" s="4"/>
      <c r="BY70" s="2"/>
      <c r="BZ70" s="111"/>
    </row>
    <row r="71" spans="1:78" x14ac:dyDescent="0.35">
      <c r="B71" s="138"/>
      <c r="C71" s="102"/>
      <c r="I71" s="2"/>
      <c r="J71" s="101"/>
      <c r="K71" s="101"/>
      <c r="S71" s="2"/>
      <c r="T71" s="2"/>
      <c r="U71" s="112"/>
      <c r="V71" s="111"/>
      <c r="W71" s="112"/>
      <c r="X71" s="111"/>
      <c r="Y71" s="118"/>
      <c r="BU71" s="4"/>
      <c r="BV71" s="4"/>
      <c r="BW71" s="210"/>
      <c r="BX71" s="4"/>
      <c r="BY71" s="2"/>
      <c r="BZ71" s="111"/>
    </row>
    <row r="72" spans="1:78" x14ac:dyDescent="0.35">
      <c r="B72" s="138"/>
      <c r="C72" s="102"/>
      <c r="I72" s="2"/>
      <c r="J72" s="101"/>
      <c r="K72" s="101"/>
      <c r="S72" s="2"/>
      <c r="T72" s="2"/>
      <c r="U72" s="110"/>
      <c r="V72" s="111"/>
      <c r="W72" s="112"/>
      <c r="X72" s="111"/>
      <c r="Y72" s="31"/>
      <c r="BU72" s="14"/>
      <c r="BV72" s="2"/>
      <c r="BW72" s="1"/>
      <c r="BY72" s="2"/>
      <c r="BZ72" s="102"/>
    </row>
    <row r="73" spans="1:78" x14ac:dyDescent="0.35">
      <c r="B73" s="138"/>
      <c r="C73" s="102"/>
      <c r="I73" s="2"/>
      <c r="J73" s="101"/>
      <c r="K73" s="101"/>
      <c r="S73" s="2"/>
      <c r="T73" s="2"/>
      <c r="U73" s="110"/>
      <c r="V73" s="111"/>
      <c r="W73" s="112"/>
      <c r="X73" s="111"/>
      <c r="Y73" s="31"/>
      <c r="BU73" s="136"/>
      <c r="BV73" s="2"/>
      <c r="BW73" s="137"/>
      <c r="BY73" s="2"/>
      <c r="BZ73" s="273"/>
    </row>
    <row r="74" spans="1:78" x14ac:dyDescent="0.35">
      <c r="B74" s="139"/>
      <c r="C74" s="102"/>
      <c r="I74" s="2"/>
      <c r="J74" s="101"/>
      <c r="K74" s="101"/>
      <c r="S74" s="2"/>
      <c r="T74" s="2"/>
      <c r="U74" s="110"/>
      <c r="V74" s="111"/>
      <c r="W74" s="112"/>
      <c r="X74" s="111"/>
      <c r="Y74" s="31"/>
      <c r="BV74" s="2"/>
      <c r="BW74" s="138"/>
      <c r="BY74" s="2"/>
      <c r="BZ74" s="274"/>
    </row>
    <row r="75" spans="1:78" x14ac:dyDescent="0.35">
      <c r="B75" s="138"/>
      <c r="C75" s="139">
        <f>SUM(B72:B74)</f>
        <v>0</v>
      </c>
      <c r="I75" s="2"/>
      <c r="J75" s="101"/>
      <c r="K75" s="101"/>
      <c r="S75" s="2"/>
      <c r="T75" s="2"/>
      <c r="U75" s="110"/>
      <c r="V75" s="111"/>
      <c r="W75" s="112"/>
      <c r="X75" s="111"/>
      <c r="Y75" s="31"/>
      <c r="BV75" s="2"/>
      <c r="BW75" s="138"/>
      <c r="BY75" s="2"/>
      <c r="BZ75" s="274"/>
    </row>
    <row r="76" spans="1:78" x14ac:dyDescent="0.35">
      <c r="A76" s="14"/>
      <c r="C76" s="83">
        <f>SUM(C70:C75)</f>
        <v>30000</v>
      </c>
      <c r="I76" s="2"/>
      <c r="J76" s="101"/>
      <c r="K76" s="101"/>
      <c r="S76" s="2"/>
      <c r="T76" s="2"/>
      <c r="U76" s="110"/>
      <c r="V76" s="101"/>
      <c r="W76" s="110"/>
      <c r="X76" s="101"/>
      <c r="Y76" s="29"/>
      <c r="BU76" s="14"/>
      <c r="BV76" s="2"/>
      <c r="BW76" s="83"/>
      <c r="BY76" s="2"/>
      <c r="BZ76" s="275"/>
    </row>
    <row r="77" spans="1:78" x14ac:dyDescent="0.35">
      <c r="C77" s="102"/>
      <c r="I77" s="7"/>
      <c r="J77" s="99"/>
      <c r="K77" s="99"/>
      <c r="S77" s="2"/>
      <c r="T77" s="2"/>
      <c r="U77" s="110"/>
      <c r="V77" s="101"/>
      <c r="W77" s="110"/>
      <c r="X77" s="101"/>
      <c r="Y77" s="33"/>
      <c r="BU77" s="7"/>
      <c r="BV77" s="2"/>
      <c r="BW77" s="2"/>
      <c r="BY77" s="2"/>
      <c r="BZ77" s="101"/>
    </row>
    <row r="78" spans="1:78" x14ac:dyDescent="0.35">
      <c r="A78" s="135"/>
      <c r="B78" s="137"/>
      <c r="C78" s="141"/>
      <c r="D78" s="89"/>
      <c r="E78" s="89"/>
      <c r="F78" s="89"/>
      <c r="G78" s="140"/>
      <c r="I78" s="7"/>
      <c r="J78" s="99"/>
      <c r="K78" s="99"/>
      <c r="S78" s="2"/>
      <c r="T78" s="2"/>
      <c r="U78" s="110"/>
      <c r="V78" s="101"/>
      <c r="W78" s="110"/>
      <c r="X78" s="101"/>
      <c r="Y78" s="31"/>
      <c r="BU78" s="4"/>
      <c r="BV78" s="4"/>
      <c r="BW78" s="1"/>
      <c r="BY78" s="2"/>
      <c r="BZ78" s="102"/>
    </row>
    <row r="79" spans="1:78" x14ac:dyDescent="0.35">
      <c r="C79" s="90">
        <v>30000</v>
      </c>
      <c r="D79" s="89"/>
      <c r="E79" s="89"/>
      <c r="F79" s="89"/>
      <c r="G79" s="140"/>
      <c r="I79" s="2"/>
      <c r="J79" s="101"/>
      <c r="K79" s="101"/>
      <c r="S79" s="2"/>
      <c r="T79" s="2"/>
      <c r="U79" s="110"/>
      <c r="V79" s="101"/>
      <c r="W79" s="110"/>
      <c r="X79" s="101"/>
      <c r="Y79" s="32"/>
      <c r="BU79" s="135"/>
      <c r="BV79" s="2"/>
      <c r="BW79" s="137"/>
      <c r="BY79" s="2"/>
      <c r="BZ79" s="273"/>
    </row>
    <row r="80" spans="1:78" x14ac:dyDescent="0.35">
      <c r="B80" s="138"/>
      <c r="C80" s="209">
        <v>0</v>
      </c>
      <c r="D80" s="89"/>
      <c r="E80" s="89"/>
      <c r="F80" s="89"/>
      <c r="G80" s="140"/>
      <c r="I80" s="2"/>
      <c r="J80" s="101"/>
      <c r="K80" s="101"/>
      <c r="S80" s="2"/>
      <c r="T80" s="2"/>
      <c r="U80" s="110"/>
      <c r="V80" s="101"/>
      <c r="W80" s="110"/>
      <c r="X80" s="101"/>
      <c r="Y80" s="31"/>
      <c r="BV80" s="2"/>
      <c r="BW80" s="1"/>
      <c r="BX80" s="138"/>
      <c r="BY80" s="2"/>
      <c r="BZ80" s="102"/>
    </row>
    <row r="81" spans="1:78" x14ac:dyDescent="0.35">
      <c r="B81" s="138"/>
      <c r="C81" s="142"/>
      <c r="D81" s="89"/>
      <c r="E81" s="89"/>
      <c r="F81" s="89"/>
      <c r="G81" s="140"/>
      <c r="BV81" s="2"/>
      <c r="BW81" s="138"/>
      <c r="BX81" s="102"/>
      <c r="BY81" s="2"/>
      <c r="BZ81" s="274"/>
    </row>
    <row r="82" spans="1:78" x14ac:dyDescent="0.35">
      <c r="A82" s="14"/>
      <c r="C82" s="91">
        <f>SUM(C79:C81)</f>
        <v>30000</v>
      </c>
      <c r="D82" s="89"/>
      <c r="E82" s="89"/>
      <c r="F82" s="89"/>
      <c r="G82" s="140"/>
      <c r="BV82" s="2"/>
      <c r="BW82" s="138"/>
      <c r="BX82" s="102"/>
      <c r="BY82" s="2"/>
      <c r="BZ82" s="274"/>
    </row>
    <row r="83" spans="1:78" x14ac:dyDescent="0.35">
      <c r="BV83" s="2"/>
      <c r="BW83" s="138"/>
      <c r="BX83" s="102"/>
      <c r="BY83" s="2"/>
      <c r="BZ83" s="274"/>
    </row>
    <row r="84" spans="1:78" x14ac:dyDescent="0.35">
      <c r="BV84" s="2"/>
      <c r="BW84" s="138"/>
      <c r="BX84" s="102"/>
      <c r="BY84" s="2"/>
      <c r="BZ84" s="274"/>
    </row>
    <row r="85" spans="1:78" x14ac:dyDescent="0.35">
      <c r="BV85" s="2"/>
      <c r="BW85" s="138"/>
      <c r="BX85" s="138"/>
      <c r="BY85" s="2"/>
      <c r="BZ85" s="274"/>
    </row>
    <row r="86" spans="1:78" x14ac:dyDescent="0.35">
      <c r="BU86" s="14"/>
      <c r="BV86" s="2"/>
      <c r="BW86" s="1"/>
      <c r="BX86" s="83"/>
      <c r="BY86" s="2"/>
      <c r="BZ86" s="102"/>
    </row>
    <row r="87" spans="1:78" x14ac:dyDescent="0.35">
      <c r="BU87" s="4"/>
      <c r="BV87" s="4"/>
      <c r="BW87" s="1"/>
      <c r="BX87" s="102"/>
      <c r="BY87" s="2"/>
      <c r="BZ87" s="102"/>
    </row>
    <row r="88" spans="1:78" x14ac:dyDescent="0.35">
      <c r="BU88" s="135"/>
      <c r="BV88" s="2"/>
      <c r="BW88" s="137"/>
      <c r="BX88" s="102"/>
      <c r="BY88" s="2"/>
      <c r="BZ88" s="273"/>
    </row>
    <row r="89" spans="1:78" x14ac:dyDescent="0.35">
      <c r="BV89" s="2"/>
      <c r="BW89" s="1"/>
      <c r="BX89" s="138"/>
      <c r="BY89" s="2"/>
      <c r="BZ89" s="102"/>
    </row>
    <row r="90" spans="1:78" x14ac:dyDescent="0.35">
      <c r="BV90" s="2"/>
      <c r="BW90" s="138"/>
      <c r="BX90" s="331"/>
      <c r="BY90" s="2"/>
      <c r="BZ90" s="274"/>
    </row>
    <row r="91" spans="1:78" x14ac:dyDescent="0.35">
      <c r="BV91" s="2"/>
      <c r="BW91" s="138"/>
      <c r="BX91" s="138"/>
      <c r="BY91" s="2"/>
      <c r="BZ91" s="274"/>
    </row>
    <row r="92" spans="1:78" x14ac:dyDescent="0.35">
      <c r="BU92" s="14"/>
      <c r="BV92" s="2"/>
      <c r="BW92" s="1"/>
      <c r="BX92" s="83"/>
      <c r="BY92" s="2"/>
      <c r="BZ92" s="102"/>
    </row>
    <row r="105" spans="29:29" x14ac:dyDescent="0.35">
      <c r="AC105"/>
    </row>
    <row r="114" spans="29:33" x14ac:dyDescent="0.35">
      <c r="AC114"/>
    </row>
    <row r="120" spans="29:33" x14ac:dyDescent="0.35">
      <c r="AC120"/>
      <c r="AD120" s="1"/>
      <c r="AE120"/>
      <c r="AF120"/>
      <c r="AG120"/>
    </row>
    <row r="121" spans="29:33" x14ac:dyDescent="0.35">
      <c r="AC121"/>
      <c r="AD121" s="1"/>
      <c r="AE121"/>
      <c r="AF121"/>
      <c r="AG121"/>
    </row>
    <row r="122" spans="29:33" x14ac:dyDescent="0.35">
      <c r="AC122"/>
      <c r="AD122" s="1"/>
      <c r="AE122"/>
      <c r="AF122"/>
      <c r="AG122"/>
    </row>
  </sheetData>
  <mergeCells count="1">
    <mergeCell ref="BU3:BV3"/>
  </mergeCells>
  <pageMargins left="0.7" right="0.7" top="0.75" bottom="0.75" header="0.3" footer="0.3"/>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38408-7F7F-44A9-AE83-D119D2FAC95D}">
  <sheetPr>
    <pageSetUpPr fitToPage="1"/>
  </sheetPr>
  <dimension ref="A1:CL133"/>
  <sheetViews>
    <sheetView tabSelected="1" workbookViewId="0">
      <pane xSplit="1" ySplit="3" topLeftCell="BN59" activePane="bottomRight" state="frozen"/>
      <selection pane="topRight" activeCell="B1" sqref="B1"/>
      <selection pane="bottomLeft" activeCell="A4" sqref="A4"/>
      <selection pane="bottomRight" activeCell="BW70" sqref="BW70"/>
    </sheetView>
  </sheetViews>
  <sheetFormatPr defaultRowHeight="15.5" x14ac:dyDescent="0.35"/>
  <cols>
    <col min="1" max="1" width="34.26953125" customWidth="1"/>
    <col min="2" max="2" width="13.1796875" style="1" hidden="1" customWidth="1"/>
    <col min="3" max="6" width="13.1796875" hidden="1" customWidth="1"/>
    <col min="7" max="7" width="13.1796875" style="1" hidden="1" customWidth="1"/>
    <col min="8" max="8" width="13.1796875" style="102" hidden="1" customWidth="1"/>
    <col min="9" max="9" width="13.1796875" hidden="1" customWidth="1"/>
    <col min="10" max="11" width="13.1796875" style="94" hidden="1" customWidth="1"/>
    <col min="12" max="12" width="13.1796875" hidden="1" customWidth="1"/>
    <col min="13" max="13" width="13.1796875" style="71" hidden="1" customWidth="1"/>
    <col min="14" max="14" width="13.1796875" style="87" hidden="1" customWidth="1"/>
    <col min="15" max="15" width="13.1796875" style="85" hidden="1" customWidth="1"/>
    <col min="16" max="16" width="13.1796875" style="87" hidden="1" customWidth="1"/>
    <col min="17" max="18" width="13.1796875" style="71" hidden="1" customWidth="1"/>
    <col min="19" max="20" width="13.1796875" hidden="1" customWidth="1"/>
    <col min="21" max="22" width="13.1796875" style="94" hidden="1" customWidth="1"/>
    <col min="23" max="23" width="13.1796875" style="102" hidden="1" customWidth="1"/>
    <col min="24" max="24" width="13.1796875" style="94" hidden="1" customWidth="1"/>
    <col min="25" max="25" width="13.1796875" style="82" hidden="1" customWidth="1"/>
    <col min="26" max="26" width="13.1796875" style="2" hidden="1" customWidth="1"/>
    <col min="27" max="28" width="13.1796875" style="4" hidden="1" customWidth="1"/>
    <col min="29" max="30" width="13.1796875" style="2" hidden="1" customWidth="1"/>
    <col min="31" max="33" width="13.1796875" style="4" hidden="1" customWidth="1"/>
    <col min="34" max="34" width="13.1796875" style="260" hidden="1" customWidth="1"/>
    <col min="35" max="35" width="13.1796875" style="261" hidden="1" customWidth="1"/>
    <col min="36" max="36" width="13.1796875" style="210" hidden="1" customWidth="1"/>
    <col min="37" max="37" width="13.1796875" style="4" hidden="1" customWidth="1"/>
    <col min="38" max="39" width="13.1796875" style="2" hidden="1" customWidth="1"/>
    <col min="40" max="44" width="13.1796875" style="111" hidden="1" customWidth="1"/>
    <col min="45" max="45" width="13.1796875" style="210" hidden="1" customWidth="1"/>
    <col min="46" max="46" width="13.1796875" style="111" hidden="1" customWidth="1"/>
    <col min="47" max="47" width="13.1796875" style="210" hidden="1" customWidth="1"/>
    <col min="48" max="48" width="13.1796875" style="18" hidden="1" customWidth="1"/>
    <col min="49" max="50" width="13.1796875" hidden="1" customWidth="1"/>
    <col min="51" max="51" width="13.1796875" style="80" hidden="1" customWidth="1"/>
    <col min="52" max="53" width="13.1796875" hidden="1" customWidth="1"/>
    <col min="54" max="54" width="13.1796875" style="82" hidden="1" customWidth="1"/>
    <col min="55" max="56" width="13.1796875" style="316" hidden="1" customWidth="1"/>
    <col min="57" max="58" width="13.1796875" style="413" hidden="1" customWidth="1"/>
    <col min="59" max="59" width="13.1796875" hidden="1" customWidth="1"/>
    <col min="60" max="60" width="15.1796875" style="618" hidden="1" customWidth="1"/>
    <col min="61" max="62" width="15.1796875" style="619" hidden="1" customWidth="1"/>
    <col min="63" max="63" width="15.1796875" style="622" hidden="1" customWidth="1"/>
    <col min="64" max="64" width="15.1796875" style="620" hidden="1" customWidth="1"/>
    <col min="65" max="65" width="17" style="618" hidden="1" customWidth="1"/>
    <col min="66" max="66" width="13.81640625" customWidth="1"/>
    <col min="67" max="67" width="14.54296875" style="620" hidden="1" customWidth="1"/>
    <col min="68" max="69" width="14.54296875" style="622" hidden="1" customWidth="1"/>
    <col min="70" max="71" width="14.54296875" style="622" customWidth="1"/>
    <col min="72" max="72" width="14.54296875" style="1252" customWidth="1"/>
    <col min="73" max="73" width="23.54296875" style="1261" hidden="1" customWidth="1"/>
    <col min="74" max="74" width="14.54296875" style="1246" hidden="1" customWidth="1"/>
    <col min="75" max="75" width="26.54296875" style="620" bestFit="1" customWidth="1"/>
    <col min="76" max="76" width="5.7265625" style="620" customWidth="1"/>
    <col min="77" max="77" width="40.1796875" customWidth="1"/>
    <col min="78" max="78" width="14.453125" customWidth="1"/>
    <col min="79" max="79" width="14" bestFit="1" customWidth="1"/>
    <col min="80" max="80" width="13.7265625" bestFit="1" customWidth="1"/>
    <col min="81" max="81" width="14.7265625" customWidth="1"/>
    <col min="82" max="82" width="30" style="310" customWidth="1"/>
    <col min="83" max="83" width="13.1796875" customWidth="1"/>
  </cols>
  <sheetData>
    <row r="1" spans="1:90" x14ac:dyDescent="0.35">
      <c r="AH1" s="260" t="s">
        <v>194</v>
      </c>
      <c r="AI1" s="276">
        <v>8.32</v>
      </c>
    </row>
    <row r="2" spans="1:90" ht="16" thickBot="1" x14ac:dyDescent="0.4"/>
    <row r="3" spans="1:90" ht="93.5" thickBot="1" x14ac:dyDescent="0.4">
      <c r="A3" s="180"/>
      <c r="B3" s="162" t="s">
        <v>97</v>
      </c>
      <c r="C3" s="150" t="s">
        <v>0</v>
      </c>
      <c r="D3" s="741" t="s">
        <v>1</v>
      </c>
      <c r="E3" s="742" t="s">
        <v>2</v>
      </c>
      <c r="F3" s="743" t="s">
        <v>1</v>
      </c>
      <c r="G3" s="744" t="s">
        <v>3</v>
      </c>
      <c r="H3" s="745" t="s">
        <v>99</v>
      </c>
      <c r="I3" s="746" t="s">
        <v>4</v>
      </c>
      <c r="J3" s="747" t="s">
        <v>158</v>
      </c>
      <c r="K3" s="747" t="s">
        <v>100</v>
      </c>
      <c r="L3" s="748" t="s">
        <v>98</v>
      </c>
      <c r="M3" s="749" t="s">
        <v>112</v>
      </c>
      <c r="N3" s="750" t="s">
        <v>107</v>
      </c>
      <c r="O3" s="751" t="s">
        <v>113</v>
      </c>
      <c r="P3" s="747" t="s">
        <v>114</v>
      </c>
      <c r="Q3" s="752" t="s">
        <v>115</v>
      </c>
      <c r="R3" s="752" t="s">
        <v>104</v>
      </c>
      <c r="S3" s="753" t="s">
        <v>5</v>
      </c>
      <c r="T3" s="753" t="s">
        <v>6</v>
      </c>
      <c r="U3" s="747" t="s">
        <v>120</v>
      </c>
      <c r="V3" s="754" t="s">
        <v>121</v>
      </c>
      <c r="W3" s="747" t="s">
        <v>127</v>
      </c>
      <c r="X3" s="747" t="s">
        <v>128</v>
      </c>
      <c r="Y3" s="755" t="s">
        <v>123</v>
      </c>
      <c r="Z3" s="756" t="s">
        <v>130</v>
      </c>
      <c r="AA3" s="757" t="s">
        <v>132</v>
      </c>
      <c r="AB3" s="757" t="s">
        <v>133</v>
      </c>
      <c r="AC3" s="758" t="s">
        <v>136</v>
      </c>
      <c r="AD3" s="758" t="s">
        <v>137</v>
      </c>
      <c r="AE3" s="759" t="s">
        <v>142</v>
      </c>
      <c r="AF3" s="759" t="s">
        <v>159</v>
      </c>
      <c r="AG3" s="759" t="s">
        <v>160</v>
      </c>
      <c r="AH3" s="760" t="s">
        <v>187</v>
      </c>
      <c r="AI3" s="761" t="s">
        <v>188</v>
      </c>
      <c r="AJ3" s="762" t="s">
        <v>189</v>
      </c>
      <c r="AK3" s="763" t="s">
        <v>152</v>
      </c>
      <c r="AL3" s="764" t="s">
        <v>157</v>
      </c>
      <c r="AM3" s="765" t="s">
        <v>155</v>
      </c>
      <c r="AN3" s="766" t="s">
        <v>190</v>
      </c>
      <c r="AO3" s="766" t="s">
        <v>200</v>
      </c>
      <c r="AP3" s="767" t="s">
        <v>224</v>
      </c>
      <c r="AQ3" s="767" t="s">
        <v>201</v>
      </c>
      <c r="AR3" s="767" t="s">
        <v>202</v>
      </c>
      <c r="AS3" s="767" t="s">
        <v>229</v>
      </c>
      <c r="AT3" s="768" t="s">
        <v>204</v>
      </c>
      <c r="AU3" s="762" t="s">
        <v>227</v>
      </c>
      <c r="AV3" s="769" t="s">
        <v>206</v>
      </c>
      <c r="AW3" s="770" t="s">
        <v>293</v>
      </c>
      <c r="AX3" s="770" t="s">
        <v>230</v>
      </c>
      <c r="AY3" s="771" t="s">
        <v>245</v>
      </c>
      <c r="AZ3" s="772" t="s">
        <v>247</v>
      </c>
      <c r="BA3" s="773" t="s">
        <v>248</v>
      </c>
      <c r="BB3" s="774" t="s">
        <v>745</v>
      </c>
      <c r="BC3" s="775" t="s">
        <v>246</v>
      </c>
      <c r="BD3" s="776" t="s">
        <v>298</v>
      </c>
      <c r="BE3" s="776" t="s">
        <v>748</v>
      </c>
      <c r="BF3" s="777" t="s">
        <v>296</v>
      </c>
      <c r="BG3" s="756" t="s">
        <v>303</v>
      </c>
      <c r="BH3" s="770" t="s">
        <v>368</v>
      </c>
      <c r="BI3" s="778" t="s">
        <v>366</v>
      </c>
      <c r="BJ3" s="778" t="s">
        <v>369</v>
      </c>
      <c r="BK3" s="779" t="s">
        <v>371</v>
      </c>
      <c r="BL3" s="780" t="s">
        <v>124</v>
      </c>
      <c r="BM3" s="1244" t="s">
        <v>779</v>
      </c>
      <c r="BN3" s="756" t="s">
        <v>747</v>
      </c>
      <c r="BO3" s="780"/>
      <c r="BP3" s="1164" t="s">
        <v>1006</v>
      </c>
      <c r="BQ3" s="1164" t="s">
        <v>1007</v>
      </c>
      <c r="BR3" s="1164" t="s">
        <v>1146</v>
      </c>
      <c r="BS3" s="1164" t="s">
        <v>1148</v>
      </c>
      <c r="BT3" s="1255" t="s">
        <v>1147</v>
      </c>
      <c r="BU3" s="1262" t="s">
        <v>124</v>
      </c>
      <c r="BV3" s="1247" t="s">
        <v>1005</v>
      </c>
      <c r="BW3" s="621"/>
      <c r="BX3" s="621"/>
      <c r="BY3" s="1088" t="s">
        <v>1029</v>
      </c>
      <c r="BZ3" s="218"/>
      <c r="CA3" s="487"/>
      <c r="CB3" s="488"/>
      <c r="CC3" s="1179"/>
      <c r="CF3" s="248" t="s">
        <v>241</v>
      </c>
      <c r="CG3" s="249"/>
      <c r="CH3" s="218"/>
      <c r="CI3" s="74"/>
      <c r="CJ3" s="15"/>
      <c r="CK3" s="321">
        <f>AU67-AW67</f>
        <v>9369.82</v>
      </c>
      <c r="CL3" s="322" t="s">
        <v>242</v>
      </c>
    </row>
    <row r="4" spans="1:90" ht="16" thickBot="1" x14ac:dyDescent="0.4">
      <c r="A4" s="180"/>
      <c r="B4" s="162"/>
      <c r="C4" s="150"/>
      <c r="D4" s="741"/>
      <c r="E4" s="742"/>
      <c r="F4" s="743"/>
      <c r="G4" s="744"/>
      <c r="H4" s="745"/>
      <c r="I4" s="746"/>
      <c r="J4" s="747"/>
      <c r="K4" s="747"/>
      <c r="L4" s="748"/>
      <c r="M4" s="749"/>
      <c r="N4" s="750"/>
      <c r="O4" s="751"/>
      <c r="P4" s="747"/>
      <c r="Q4" s="752"/>
      <c r="R4" s="752"/>
      <c r="S4" s="753"/>
      <c r="T4" s="753"/>
      <c r="U4" s="747"/>
      <c r="V4" s="754"/>
      <c r="W4" s="747"/>
      <c r="X4" s="747"/>
      <c r="Y4" s="755"/>
      <c r="Z4" s="748"/>
      <c r="AA4" s="1150"/>
      <c r="AB4" s="1150"/>
      <c r="AC4" s="1151"/>
      <c r="AD4" s="1152"/>
      <c r="AE4" s="1153"/>
      <c r="AF4" s="1154"/>
      <c r="AG4" s="1154"/>
      <c r="AH4" s="1155"/>
      <c r="AI4" s="1156"/>
      <c r="AJ4" s="1157"/>
      <c r="AK4" s="763"/>
      <c r="AL4" s="1158"/>
      <c r="AM4" s="1159"/>
      <c r="AN4" s="1160"/>
      <c r="AO4" s="1161"/>
      <c r="AP4" s="1162"/>
      <c r="AQ4" s="1163"/>
      <c r="AR4" s="1164"/>
      <c r="AS4" s="1164"/>
      <c r="AT4" s="1165"/>
      <c r="AU4" s="1157"/>
      <c r="AV4" s="769"/>
      <c r="AW4" s="1166"/>
      <c r="AX4" s="1166"/>
      <c r="AY4" s="1167"/>
      <c r="AZ4" s="1168"/>
      <c r="BA4" s="1169"/>
      <c r="BB4" s="1170"/>
      <c r="BC4" s="813"/>
      <c r="BD4" s="1171"/>
      <c r="BE4" s="1171"/>
      <c r="BF4" s="1172"/>
      <c r="BG4" s="162"/>
      <c r="BH4" s="1166"/>
      <c r="BI4" s="1173"/>
      <c r="BJ4" s="1173"/>
      <c r="BK4" s="1174"/>
      <c r="BL4" s="780"/>
      <c r="BM4" s="1166"/>
      <c r="BN4" s="162"/>
      <c r="BO4" s="780"/>
      <c r="BP4" s="1245"/>
      <c r="BQ4" s="1245"/>
      <c r="BR4" s="1310"/>
      <c r="BS4" s="1310"/>
      <c r="BT4" s="1316"/>
      <c r="BU4" s="1263"/>
      <c r="BV4" s="1324"/>
      <c r="BW4" s="621"/>
      <c r="BX4" s="621"/>
      <c r="BY4" s="1178" t="s">
        <v>754</v>
      </c>
      <c r="BZ4" s="7" t="s">
        <v>1074</v>
      </c>
      <c r="CA4" s="1267" t="s">
        <v>1073</v>
      </c>
      <c r="CB4" s="474"/>
      <c r="CC4" s="637">
        <f>BT67</f>
        <v>44199</v>
      </c>
      <c r="CD4" s="644" t="s">
        <v>336</v>
      </c>
      <c r="CF4" s="1175"/>
      <c r="CG4" s="1176"/>
      <c r="CH4" s="7"/>
      <c r="CI4" s="327"/>
      <c r="CJ4" s="2"/>
      <c r="CK4" s="1177"/>
      <c r="CL4" s="322"/>
    </row>
    <row r="5" spans="1:90" ht="24" customHeight="1" x14ac:dyDescent="0.35">
      <c r="A5" s="647"/>
      <c r="B5" s="162"/>
      <c r="C5" s="163"/>
      <c r="D5" s="163"/>
      <c r="E5" s="781"/>
      <c r="F5" s="163"/>
      <c r="G5" s="782"/>
      <c r="H5" s="783"/>
      <c r="I5" s="784"/>
      <c r="J5" s="785"/>
      <c r="K5" s="786">
        <f>12/12</f>
        <v>1</v>
      </c>
      <c r="L5" s="787"/>
      <c r="M5" s="788"/>
      <c r="N5" s="789">
        <f>3/12</f>
        <v>0.25</v>
      </c>
      <c r="O5" s="790"/>
      <c r="P5" s="791">
        <f>6/12</f>
        <v>0.5</v>
      </c>
      <c r="Q5" s="792"/>
      <c r="R5" s="792"/>
      <c r="S5" s="784"/>
      <c r="T5" s="163"/>
      <c r="U5" s="793"/>
      <c r="V5" s="794"/>
      <c r="W5" s="795"/>
      <c r="X5" s="793"/>
      <c r="Y5" s="796"/>
      <c r="Z5" s="787"/>
      <c r="AA5" s="797"/>
      <c r="AB5" s="798">
        <f>3/12</f>
        <v>0.25</v>
      </c>
      <c r="AC5" s="799"/>
      <c r="AD5" s="800">
        <f>7/12</f>
        <v>0.58333333333333337</v>
      </c>
      <c r="AE5" s="801"/>
      <c r="AF5" s="802"/>
      <c r="AG5" s="802"/>
      <c r="AH5" s="803"/>
      <c r="AI5" s="802"/>
      <c r="AJ5" s="803"/>
      <c r="AK5" s="804"/>
      <c r="AL5" s="805"/>
      <c r="AM5" s="806"/>
      <c r="AN5" s="807"/>
      <c r="AO5" s="808"/>
      <c r="AP5" s="809"/>
      <c r="AQ5" s="810"/>
      <c r="AR5" s="811"/>
      <c r="AS5" s="811"/>
      <c r="AT5" s="807"/>
      <c r="AU5" s="803"/>
      <c r="AV5" s="812"/>
      <c r="AW5" s="813"/>
      <c r="AX5" s="814">
        <f>7/12</f>
        <v>0.58333333333333337</v>
      </c>
      <c r="AY5" s="815"/>
      <c r="AZ5" s="814"/>
      <c r="BA5" s="814"/>
      <c r="BB5" s="801"/>
      <c r="BC5" s="813"/>
      <c r="BD5" s="816"/>
      <c r="BE5" s="813"/>
      <c r="BF5" s="817">
        <v>1</v>
      </c>
      <c r="BG5" s="818"/>
      <c r="BH5" s="813"/>
      <c r="BI5" s="817">
        <f>8/12</f>
        <v>0.66666666666666663</v>
      </c>
      <c r="BJ5" s="819"/>
      <c r="BK5" s="820"/>
      <c r="BL5" s="821"/>
      <c r="BM5" s="1293"/>
      <c r="BN5" s="1301"/>
      <c r="BO5" s="821"/>
      <c r="BP5" s="820"/>
      <c r="BQ5" s="1306"/>
      <c r="BR5" s="1311"/>
      <c r="BS5" s="1311"/>
      <c r="BT5" s="1317"/>
      <c r="BU5" s="1323"/>
      <c r="BV5" s="1325"/>
      <c r="BY5" s="624" t="s">
        <v>48</v>
      </c>
      <c r="BZ5" s="180"/>
      <c r="CA5" s="1180"/>
      <c r="CB5" s="646"/>
      <c r="CC5" s="625"/>
      <c r="CD5" s="180"/>
      <c r="CF5" s="17" t="s">
        <v>48</v>
      </c>
      <c r="CG5" s="30"/>
      <c r="CH5" s="2"/>
      <c r="CI5" s="73"/>
      <c r="CJ5" s="4"/>
      <c r="CK5" s="19"/>
      <c r="CL5" s="322"/>
    </row>
    <row r="6" spans="1:90" x14ac:dyDescent="0.35">
      <c r="A6" s="180"/>
      <c r="B6" s="5"/>
      <c r="C6" s="180" t="s">
        <v>7</v>
      </c>
      <c r="D6" s="822">
        <f>3/12</f>
        <v>0.25</v>
      </c>
      <c r="E6" s="626" t="s">
        <v>8</v>
      </c>
      <c r="F6" s="823">
        <f>10/12</f>
        <v>0.83333333333333337</v>
      </c>
      <c r="G6" s="824"/>
      <c r="H6" s="825"/>
      <c r="I6" s="826"/>
      <c r="J6" s="827"/>
      <c r="K6" s="828"/>
      <c r="L6" s="829"/>
      <c r="M6" s="830"/>
      <c r="N6" s="831"/>
      <c r="O6" s="832"/>
      <c r="P6" s="833"/>
      <c r="Q6" s="834"/>
      <c r="R6" s="834"/>
      <c r="S6" s="826"/>
      <c r="T6" s="180"/>
      <c r="U6" s="835"/>
      <c r="V6" s="836"/>
      <c r="W6" s="837"/>
      <c r="X6" s="835"/>
      <c r="Y6" s="647"/>
      <c r="Z6" s="838"/>
      <c r="AA6" s="839"/>
      <c r="AB6" s="798"/>
      <c r="AC6" s="840"/>
      <c r="AD6" s="800"/>
      <c r="AE6" s="798"/>
      <c r="AF6" s="841"/>
      <c r="AG6" s="841"/>
      <c r="AH6" s="842"/>
      <c r="AI6" s="841"/>
      <c r="AJ6" s="842"/>
      <c r="AK6" s="804"/>
      <c r="AL6" s="805"/>
      <c r="AM6" s="806"/>
      <c r="AN6" s="843"/>
      <c r="AO6" s="844"/>
      <c r="AP6" s="845"/>
      <c r="AQ6" s="846"/>
      <c r="AR6" s="847"/>
      <c r="AS6" s="847"/>
      <c r="AT6" s="843"/>
      <c r="AU6" s="842"/>
      <c r="AV6" s="812"/>
      <c r="AW6" s="848"/>
      <c r="AX6" s="849"/>
      <c r="AY6" s="850"/>
      <c r="AZ6" s="849"/>
      <c r="BA6" s="849"/>
      <c r="BB6" s="798"/>
      <c r="BC6" s="848"/>
      <c r="BD6" s="851"/>
      <c r="BE6" s="848"/>
      <c r="BF6" s="852"/>
      <c r="BG6" s="853"/>
      <c r="BH6" s="848"/>
      <c r="BI6" s="852"/>
      <c r="BJ6" s="854"/>
      <c r="BK6" s="855"/>
      <c r="BL6" s="821"/>
      <c r="BM6" s="1294"/>
      <c r="BN6" s="1302"/>
      <c r="BO6" s="821"/>
      <c r="BP6" s="855"/>
      <c r="BQ6" s="1307"/>
      <c r="BR6" s="1312"/>
      <c r="BS6" s="1312"/>
      <c r="BT6" s="1318"/>
      <c r="BV6" s="1326"/>
      <c r="BY6" s="626" t="s">
        <v>1030</v>
      </c>
      <c r="BZ6" s="1181">
        <v>101907.9</v>
      </c>
      <c r="CB6" s="646"/>
      <c r="CC6" s="627"/>
      <c r="CD6" s="628" t="s">
        <v>381</v>
      </c>
      <c r="CF6" s="20" t="s">
        <v>196</v>
      </c>
      <c r="CG6" s="2"/>
      <c r="CH6" s="2" t="s">
        <v>156</v>
      </c>
      <c r="CI6" s="212">
        <f>35500-425</f>
        <v>35075</v>
      </c>
      <c r="CJ6" s="4"/>
      <c r="CK6" s="21"/>
      <c r="CL6" s="322"/>
    </row>
    <row r="7" spans="1:90" x14ac:dyDescent="0.35">
      <c r="A7" s="651" t="s">
        <v>9</v>
      </c>
      <c r="B7" s="8"/>
      <c r="C7" s="180"/>
      <c r="D7" s="822"/>
      <c r="E7" s="626"/>
      <c r="F7" s="180"/>
      <c r="G7" s="856"/>
      <c r="H7" s="857"/>
      <c r="I7" s="858"/>
      <c r="J7" s="859"/>
      <c r="K7" s="860"/>
      <c r="L7" s="861"/>
      <c r="M7" s="830"/>
      <c r="N7" s="831"/>
      <c r="O7" s="832"/>
      <c r="P7" s="833"/>
      <c r="Q7" s="834"/>
      <c r="R7" s="834"/>
      <c r="S7" s="858"/>
      <c r="T7" s="180"/>
      <c r="U7" s="835"/>
      <c r="V7" s="836"/>
      <c r="W7" s="837"/>
      <c r="X7" s="835"/>
      <c r="Y7" s="647"/>
      <c r="Z7" s="861"/>
      <c r="AA7" s="797"/>
      <c r="AB7" s="798"/>
      <c r="AC7" s="799"/>
      <c r="AD7" s="800"/>
      <c r="AE7" s="798"/>
      <c r="AF7" s="841"/>
      <c r="AG7" s="841"/>
      <c r="AH7" s="842"/>
      <c r="AI7" s="841"/>
      <c r="AJ7" s="842"/>
      <c r="AK7" s="804"/>
      <c r="AL7" s="805"/>
      <c r="AM7" s="806"/>
      <c r="AN7" s="843"/>
      <c r="AO7" s="844"/>
      <c r="AP7" s="845"/>
      <c r="AQ7" s="846"/>
      <c r="AR7" s="847"/>
      <c r="AS7" s="847"/>
      <c r="AT7" s="843"/>
      <c r="AU7" s="842"/>
      <c r="AV7" s="812"/>
      <c r="AW7" s="848"/>
      <c r="AX7" s="849"/>
      <c r="AY7" s="850"/>
      <c r="AZ7" s="849"/>
      <c r="BA7" s="849"/>
      <c r="BB7" s="839"/>
      <c r="BC7" s="848"/>
      <c r="BD7" s="851"/>
      <c r="BE7" s="848"/>
      <c r="BF7" s="852"/>
      <c r="BG7" s="853"/>
      <c r="BH7" s="848"/>
      <c r="BI7" s="852"/>
      <c r="BJ7" s="854"/>
      <c r="BK7" s="855"/>
      <c r="BL7" s="821"/>
      <c r="BM7" s="1294"/>
      <c r="BN7" s="1302"/>
      <c r="BO7" s="821"/>
      <c r="BP7" s="855"/>
      <c r="BQ7" s="1307"/>
      <c r="BR7" s="1312"/>
      <c r="BS7" s="1312"/>
      <c r="BT7" s="1318"/>
      <c r="BV7" s="1326"/>
      <c r="BY7" s="626" t="s">
        <v>1031</v>
      </c>
      <c r="BZ7" s="629">
        <v>-3539</v>
      </c>
      <c r="CB7" s="646"/>
      <c r="CC7" s="630"/>
      <c r="CD7" s="628"/>
      <c r="CF7" s="250" t="s">
        <v>197</v>
      </c>
      <c r="CG7" s="251"/>
      <c r="CH7" s="252" t="s">
        <v>195</v>
      </c>
      <c r="CI7" s="317">
        <v>14500</v>
      </c>
      <c r="CJ7" s="4"/>
      <c r="CK7" s="22"/>
      <c r="CL7" s="323"/>
    </row>
    <row r="8" spans="1:90" x14ac:dyDescent="0.35">
      <c r="A8" s="180" t="s">
        <v>59</v>
      </c>
      <c r="B8" s="9">
        <v>6700</v>
      </c>
      <c r="C8" s="181">
        <v>1407.14</v>
      </c>
      <c r="D8" s="822">
        <f>C8/B8</f>
        <v>0.21002089552238806</v>
      </c>
      <c r="E8" s="626">
        <v>4634.05</v>
      </c>
      <c r="F8" s="823">
        <f>E8/B8</f>
        <v>0.69164925373134334</v>
      </c>
      <c r="G8" s="862">
        <f>(E8/10)*12+(E8/10)*12*3/100</f>
        <v>5727.6858000000002</v>
      </c>
      <c r="H8" s="863">
        <v>5095.8100000000004</v>
      </c>
      <c r="I8" s="864">
        <v>6000</v>
      </c>
      <c r="J8" s="827">
        <v>5557.57</v>
      </c>
      <c r="K8" s="828">
        <f>J8/I8</f>
        <v>0.92626166666666665</v>
      </c>
      <c r="L8" s="865">
        <v>6000</v>
      </c>
      <c r="M8" s="830">
        <v>1385.28</v>
      </c>
      <c r="N8" s="831">
        <f t="shared" ref="N8:N34" si="0">M8/L8</f>
        <v>0.23088</v>
      </c>
      <c r="O8" s="832">
        <v>2825.28</v>
      </c>
      <c r="P8" s="833">
        <f>O8/L8</f>
        <v>0.47088000000000002</v>
      </c>
      <c r="Q8" s="834"/>
      <c r="R8" s="834"/>
      <c r="S8" s="864"/>
      <c r="T8" s="180"/>
      <c r="U8" s="866">
        <v>4265.28</v>
      </c>
      <c r="V8" s="867">
        <f>U8/L8</f>
        <v>0.71087999999999996</v>
      </c>
      <c r="W8" s="868">
        <v>5705.28</v>
      </c>
      <c r="X8" s="869">
        <f>W8/L8</f>
        <v>0.95087999999999995</v>
      </c>
      <c r="Y8" s="870">
        <v>1440</v>
      </c>
      <c r="Z8" s="838">
        <v>6270</v>
      </c>
      <c r="AA8" s="871">
        <v>1440</v>
      </c>
      <c r="AB8" s="872">
        <f>AA8/Z8</f>
        <v>0.22966507177033493</v>
      </c>
      <c r="AC8" s="873">
        <v>3360</v>
      </c>
      <c r="AD8" s="874">
        <f>AC8/Z8</f>
        <v>0.53588516746411485</v>
      </c>
      <c r="AE8" s="875">
        <v>2400</v>
      </c>
      <c r="AF8" s="876">
        <f>AE8+AC8</f>
        <v>5760</v>
      </c>
      <c r="AG8" s="877">
        <f>AF8/Z8</f>
        <v>0.91866028708133973</v>
      </c>
      <c r="AH8" s="878">
        <v>5760</v>
      </c>
      <c r="AI8" s="877">
        <f>AH8/Z8</f>
        <v>0.91866028708133973</v>
      </c>
      <c r="AJ8" s="879">
        <v>7613</v>
      </c>
      <c r="AK8" s="880" t="s">
        <v>143</v>
      </c>
      <c r="AL8" s="881">
        <v>951.6</v>
      </c>
      <c r="AM8" s="806"/>
      <c r="AN8" s="882">
        <v>3585</v>
      </c>
      <c r="AO8" s="883">
        <v>5027.1499999999996</v>
      </c>
      <c r="AP8" s="884">
        <v>6926.74</v>
      </c>
      <c r="AQ8" s="885">
        <f>(40*15.83)*3</f>
        <v>1899.6000000000001</v>
      </c>
      <c r="AR8" s="886">
        <f>AO8+AQ8</f>
        <v>6926.75</v>
      </c>
      <c r="AS8" s="887">
        <f>AP8/AJ8</f>
        <v>0.90985682385393407</v>
      </c>
      <c r="AT8" s="882"/>
      <c r="AU8" s="888">
        <v>9000</v>
      </c>
      <c r="AV8" s="889" t="s">
        <v>211</v>
      </c>
      <c r="AW8" s="851">
        <v>8194.6299999999992</v>
      </c>
      <c r="AX8" s="849">
        <f>AW8/AU8</f>
        <v>0.9105144444444444</v>
      </c>
      <c r="AY8" s="850">
        <f>670*3</f>
        <v>2010</v>
      </c>
      <c r="AZ8" s="850">
        <f>AW8+AY8</f>
        <v>10204.629999999999</v>
      </c>
      <c r="BA8" s="849">
        <f>AZ8/AU8</f>
        <v>1.1338477777777778</v>
      </c>
      <c r="BB8" s="839">
        <v>9000</v>
      </c>
      <c r="BC8" s="848" t="s">
        <v>249</v>
      </c>
      <c r="BD8" s="851">
        <v>6683.77</v>
      </c>
      <c r="BE8" s="851">
        <v>9505.6</v>
      </c>
      <c r="BF8" s="852">
        <f>BE8/BB8</f>
        <v>1.0561777777777779</v>
      </c>
      <c r="BG8" s="853">
        <v>10396.799999999999</v>
      </c>
      <c r="BH8" s="851">
        <v>11452.76</v>
      </c>
      <c r="BI8" s="852">
        <f>BH8/BG8</f>
        <v>1.1015658664204371</v>
      </c>
      <c r="BJ8" s="854">
        <f>(66*19.05)*3</f>
        <v>3771.8999999999996</v>
      </c>
      <c r="BK8" s="890">
        <f t="shared" ref="BK8:BK67" si="1">BJ8+BH8</f>
        <v>15224.66</v>
      </c>
      <c r="BL8" s="821"/>
      <c r="BM8" s="1295">
        <v>15431.36</v>
      </c>
      <c r="BN8" s="1303">
        <f>((66*21)*12)+21*30</f>
        <v>17262</v>
      </c>
      <c r="BO8" s="821" t="s">
        <v>378</v>
      </c>
      <c r="BP8" s="1256">
        <f>(66*20.02)*3</f>
        <v>3963.96</v>
      </c>
      <c r="BQ8" s="1308">
        <f>BV8+BP8</f>
        <v>19701.039999999997</v>
      </c>
      <c r="BR8" s="1313">
        <v>15737.08</v>
      </c>
      <c r="BS8" s="1315">
        <f>BR8/BN8</f>
        <v>0.91166029428803153</v>
      </c>
      <c r="BT8" s="1319">
        <v>17000</v>
      </c>
      <c r="BU8" s="1285" t="s">
        <v>1028</v>
      </c>
      <c r="BV8" s="1326">
        <f>'Natwest Expenses'!M132</f>
        <v>15737.079999999998</v>
      </c>
      <c r="BY8" s="626" t="s">
        <v>1032</v>
      </c>
      <c r="BZ8" s="647"/>
      <c r="CA8" s="1182">
        <f>SUM(BZ6:BZ7)</f>
        <v>98368.9</v>
      </c>
      <c r="CC8" s="630"/>
      <c r="CD8" s="628"/>
      <c r="CF8" s="20" t="s">
        <v>235</v>
      </c>
      <c r="CG8" s="2"/>
      <c r="CH8" s="2"/>
      <c r="CI8" s="283">
        <f>'Natwest Expenses'!AK132</f>
        <v>0</v>
      </c>
      <c r="CK8" s="22"/>
      <c r="CL8" s="323"/>
    </row>
    <row r="9" spans="1:90" x14ac:dyDescent="0.35">
      <c r="A9" s="180" t="s">
        <v>192</v>
      </c>
      <c r="B9" s="9"/>
      <c r="C9" s="181"/>
      <c r="D9" s="822"/>
      <c r="E9" s="626"/>
      <c r="F9" s="823"/>
      <c r="G9" s="862"/>
      <c r="H9" s="863"/>
      <c r="I9" s="864"/>
      <c r="J9" s="827"/>
      <c r="K9" s="828"/>
      <c r="L9" s="865"/>
      <c r="M9" s="830"/>
      <c r="N9" s="831"/>
      <c r="O9" s="832"/>
      <c r="P9" s="833"/>
      <c r="Q9" s="834"/>
      <c r="R9" s="834"/>
      <c r="S9" s="864"/>
      <c r="T9" s="180"/>
      <c r="U9" s="866"/>
      <c r="V9" s="867"/>
      <c r="W9" s="868"/>
      <c r="X9" s="869"/>
      <c r="Y9" s="870"/>
      <c r="Z9" s="838"/>
      <c r="AA9" s="871"/>
      <c r="AB9" s="872"/>
      <c r="AC9" s="873"/>
      <c r="AD9" s="874"/>
      <c r="AE9" s="875"/>
      <c r="AF9" s="876"/>
      <c r="AG9" s="877"/>
      <c r="AH9" s="878"/>
      <c r="AI9" s="877"/>
      <c r="AJ9" s="879"/>
      <c r="AK9" s="880"/>
      <c r="AL9" s="881"/>
      <c r="AM9" s="806"/>
      <c r="AN9" s="882"/>
      <c r="AO9" s="883"/>
      <c r="AP9" s="884"/>
      <c r="AQ9" s="885"/>
      <c r="AR9" s="886"/>
      <c r="AS9" s="887"/>
      <c r="AT9" s="882"/>
      <c r="AU9" s="888"/>
      <c r="AV9" s="889"/>
      <c r="AW9" s="851"/>
      <c r="AX9" s="849"/>
      <c r="AY9" s="850"/>
      <c r="AZ9" s="850"/>
      <c r="BA9" s="849"/>
      <c r="BB9" s="839"/>
      <c r="BC9" s="848"/>
      <c r="BD9" s="851"/>
      <c r="BE9" s="851"/>
      <c r="BF9" s="852"/>
      <c r="BG9" s="853"/>
      <c r="BH9" s="851"/>
      <c r="BI9" s="852"/>
      <c r="BJ9" s="854"/>
      <c r="BK9" s="890"/>
      <c r="BL9" s="821"/>
      <c r="BM9" s="1295"/>
      <c r="BN9" s="1303"/>
      <c r="BO9" s="821"/>
      <c r="BP9" s="1256">
        <f>BP8*15%</f>
        <v>594.59399999999994</v>
      </c>
      <c r="BQ9" s="1308">
        <f>BP9+BV9</f>
        <v>1511.0439999999999</v>
      </c>
      <c r="BR9" s="1313">
        <v>916.45</v>
      </c>
      <c r="BS9" s="1315"/>
      <c r="BT9" s="1319">
        <v>1800</v>
      </c>
      <c r="BU9" s="1285" t="s">
        <v>1010</v>
      </c>
      <c r="BV9" s="1326">
        <f>'Natwest Expenses'!N132</f>
        <v>916.45</v>
      </c>
      <c r="BY9" s="626"/>
      <c r="BZ9" s="647"/>
      <c r="CA9" s="1182"/>
      <c r="CC9" s="630"/>
      <c r="CD9" s="628"/>
      <c r="CF9" s="20"/>
      <c r="CG9" s="2"/>
      <c r="CH9" s="2"/>
      <c r="CI9" s="283"/>
      <c r="CK9" s="22"/>
      <c r="CL9" s="323"/>
    </row>
    <row r="10" spans="1:90" x14ac:dyDescent="0.35">
      <c r="A10" s="180" t="s">
        <v>193</v>
      </c>
      <c r="B10" s="9"/>
      <c r="C10" s="181"/>
      <c r="D10" s="822"/>
      <c r="E10" s="626"/>
      <c r="F10" s="823"/>
      <c r="G10" s="862"/>
      <c r="H10" s="863"/>
      <c r="I10" s="864"/>
      <c r="J10" s="827"/>
      <c r="K10" s="828"/>
      <c r="L10" s="865"/>
      <c r="M10" s="830"/>
      <c r="N10" s="831"/>
      <c r="O10" s="832"/>
      <c r="P10" s="833"/>
      <c r="Q10" s="834"/>
      <c r="R10" s="834"/>
      <c r="S10" s="864"/>
      <c r="T10" s="180"/>
      <c r="U10" s="866"/>
      <c r="V10" s="867"/>
      <c r="W10" s="868"/>
      <c r="X10" s="869"/>
      <c r="Y10" s="870"/>
      <c r="Z10" s="838"/>
      <c r="AA10" s="871"/>
      <c r="AB10" s="872"/>
      <c r="AC10" s="873"/>
      <c r="AD10" s="874"/>
      <c r="AE10" s="875"/>
      <c r="AF10" s="876"/>
      <c r="AG10" s="877"/>
      <c r="AH10" s="878"/>
      <c r="AI10" s="877"/>
      <c r="AJ10" s="879"/>
      <c r="AK10" s="880"/>
      <c r="AL10" s="881"/>
      <c r="AM10" s="806"/>
      <c r="AN10" s="882"/>
      <c r="AO10" s="883"/>
      <c r="AP10" s="884">
        <v>948.23</v>
      </c>
      <c r="AQ10" s="885"/>
      <c r="AR10" s="886"/>
      <c r="AS10" s="887"/>
      <c r="AT10" s="882"/>
      <c r="AU10" s="888">
        <f>AU8/100*20.3</f>
        <v>1827</v>
      </c>
      <c r="AV10" s="889" t="s">
        <v>212</v>
      </c>
      <c r="AW10" s="851">
        <v>1865.95</v>
      </c>
      <c r="AX10" s="849">
        <f>AW10/AU10</f>
        <v>1.021319102353585</v>
      </c>
      <c r="AY10" s="850">
        <f>152.76*3</f>
        <v>458.28</v>
      </c>
      <c r="AZ10" s="850">
        <f>AW10+AY10</f>
        <v>2324.23</v>
      </c>
      <c r="BA10" s="849">
        <f>AZ10/AU10</f>
        <v>1.2721565407772304</v>
      </c>
      <c r="BB10" s="839">
        <v>2052</v>
      </c>
      <c r="BC10" s="891">
        <v>0.22800000000000001</v>
      </c>
      <c r="BD10" s="851">
        <v>1519.56</v>
      </c>
      <c r="BE10" s="851">
        <v>2145.79</v>
      </c>
      <c r="BF10" s="852">
        <f>BE10/BB10</f>
        <v>1.045706627680312</v>
      </c>
      <c r="BG10" s="853">
        <v>2370.4699999999998</v>
      </c>
      <c r="BH10" s="851">
        <v>2427.23</v>
      </c>
      <c r="BI10" s="852">
        <f>BH10/BG10</f>
        <v>1.0239446185777505</v>
      </c>
      <c r="BJ10" s="854">
        <f>BJ8*22.3%</f>
        <v>841.13369999999998</v>
      </c>
      <c r="BK10" s="890">
        <f t="shared" si="1"/>
        <v>3268.3636999999999</v>
      </c>
      <c r="BL10" s="821"/>
      <c r="BM10" s="1295">
        <v>3268.37</v>
      </c>
      <c r="BN10" s="1303">
        <f>BN8*22.3%</f>
        <v>3849.4259999999999</v>
      </c>
      <c r="BO10" s="821" t="s">
        <v>376</v>
      </c>
      <c r="BP10" s="1256">
        <f>BP8*22.3%</f>
        <v>883.96307999999999</v>
      </c>
      <c r="BQ10" s="1308">
        <f>BV10+BP10</f>
        <v>4393.3230800000001</v>
      </c>
      <c r="BR10" s="1313">
        <v>3509.36</v>
      </c>
      <c r="BS10" s="1315">
        <f t="shared" ref="BS10:BS67" si="2">BR10/BN10</f>
        <v>0.91165799784175616</v>
      </c>
      <c r="BT10" s="1319">
        <v>3791</v>
      </c>
      <c r="BU10" s="1286">
        <v>0.223</v>
      </c>
      <c r="BV10" s="1326">
        <f>'Natwest Expenses'!O132</f>
        <v>3509.3600000000006</v>
      </c>
      <c r="BY10" s="626" t="s">
        <v>1042</v>
      </c>
      <c r="CA10" s="1260">
        <v>346461</v>
      </c>
      <c r="CC10" s="648"/>
      <c r="CD10" s="628"/>
      <c r="CF10" s="20"/>
      <c r="CG10" s="2"/>
      <c r="CH10" s="2"/>
      <c r="CI10" s="143"/>
      <c r="CJ10" s="4">
        <f>CI6+CI7-CI8</f>
        <v>49575</v>
      </c>
      <c r="CK10" s="22"/>
      <c r="CL10" s="323"/>
    </row>
    <row r="11" spans="1:90" x14ac:dyDescent="0.35">
      <c r="A11" s="180"/>
      <c r="B11" s="9"/>
      <c r="C11" s="181"/>
      <c r="D11" s="822"/>
      <c r="E11" s="626"/>
      <c r="F11" s="823"/>
      <c r="G11" s="862"/>
      <c r="H11" s="863"/>
      <c r="I11" s="864"/>
      <c r="J11" s="827"/>
      <c r="K11" s="828"/>
      <c r="L11" s="865"/>
      <c r="M11" s="830"/>
      <c r="N11" s="831"/>
      <c r="O11" s="832"/>
      <c r="P11" s="833"/>
      <c r="Q11" s="834"/>
      <c r="R11" s="834"/>
      <c r="S11" s="864"/>
      <c r="T11" s="180"/>
      <c r="U11" s="866"/>
      <c r="V11" s="867"/>
      <c r="W11" s="868"/>
      <c r="X11" s="869"/>
      <c r="Y11" s="870"/>
      <c r="Z11" s="838"/>
      <c r="AA11" s="871"/>
      <c r="AB11" s="872"/>
      <c r="AC11" s="873"/>
      <c r="AD11" s="874"/>
      <c r="AE11" s="875"/>
      <c r="AF11" s="876"/>
      <c r="AG11" s="877"/>
      <c r="AH11" s="878"/>
      <c r="AI11" s="877"/>
      <c r="AJ11" s="879"/>
      <c r="AK11" s="880"/>
      <c r="AL11" s="881"/>
      <c r="AM11" s="806"/>
      <c r="AN11" s="882"/>
      <c r="AO11" s="883"/>
      <c r="AP11" s="884"/>
      <c r="AQ11" s="885"/>
      <c r="AR11" s="886"/>
      <c r="AS11" s="887"/>
      <c r="AT11" s="882"/>
      <c r="AU11" s="888"/>
      <c r="AV11" s="889"/>
      <c r="AW11" s="851"/>
      <c r="AX11" s="849"/>
      <c r="AY11" s="850"/>
      <c r="AZ11" s="850"/>
      <c r="BA11" s="849"/>
      <c r="BB11" s="839"/>
      <c r="BC11" s="891"/>
      <c r="BD11" s="851"/>
      <c r="BE11" s="851"/>
      <c r="BF11" s="852"/>
      <c r="BG11" s="853"/>
      <c r="BH11" s="851"/>
      <c r="BI11" s="852"/>
      <c r="BJ11" s="854"/>
      <c r="BK11" s="890"/>
      <c r="BL11" s="821"/>
      <c r="BM11" s="1295"/>
      <c r="BN11" s="1303"/>
      <c r="BO11" s="821"/>
      <c r="BP11" s="1256"/>
      <c r="BQ11" s="1308"/>
      <c r="BR11" s="1313"/>
      <c r="BS11" s="1315"/>
      <c r="BT11" s="1319"/>
      <c r="BU11" s="1286"/>
      <c r="BV11" s="1326"/>
      <c r="BY11" s="626" t="s">
        <v>1043</v>
      </c>
      <c r="CA11" s="1260">
        <v>5000</v>
      </c>
      <c r="CC11" s="648"/>
      <c r="CD11" s="628"/>
      <c r="CF11" s="20"/>
      <c r="CG11" s="2"/>
      <c r="CH11" s="2"/>
      <c r="CI11" s="143"/>
      <c r="CJ11" s="4"/>
      <c r="CK11" s="22"/>
      <c r="CL11" s="323"/>
    </row>
    <row r="12" spans="1:90" x14ac:dyDescent="0.35">
      <c r="A12" s="180"/>
      <c r="B12" s="9"/>
      <c r="C12" s="181"/>
      <c r="D12" s="822"/>
      <c r="E12" s="626"/>
      <c r="F12" s="823"/>
      <c r="G12" s="862"/>
      <c r="H12" s="863"/>
      <c r="I12" s="864"/>
      <c r="J12" s="827"/>
      <c r="K12" s="828"/>
      <c r="L12" s="865"/>
      <c r="M12" s="830"/>
      <c r="N12" s="831"/>
      <c r="O12" s="832"/>
      <c r="P12" s="833"/>
      <c r="Q12" s="834"/>
      <c r="R12" s="834"/>
      <c r="S12" s="864"/>
      <c r="T12" s="180"/>
      <c r="U12" s="866"/>
      <c r="V12" s="867"/>
      <c r="W12" s="868"/>
      <c r="X12" s="869"/>
      <c r="Y12" s="870"/>
      <c r="Z12" s="838"/>
      <c r="AA12" s="871"/>
      <c r="AB12" s="872"/>
      <c r="AC12" s="873"/>
      <c r="AD12" s="874"/>
      <c r="AE12" s="875"/>
      <c r="AF12" s="876"/>
      <c r="AG12" s="877"/>
      <c r="AH12" s="878"/>
      <c r="AI12" s="877"/>
      <c r="AJ12" s="879"/>
      <c r="AK12" s="880"/>
      <c r="AL12" s="881"/>
      <c r="AM12" s="806"/>
      <c r="AN12" s="882"/>
      <c r="AO12" s="883"/>
      <c r="AP12" s="884"/>
      <c r="AQ12" s="885"/>
      <c r="AR12" s="886"/>
      <c r="AS12" s="887"/>
      <c r="AT12" s="882"/>
      <c r="AU12" s="888"/>
      <c r="AV12" s="889"/>
      <c r="AW12" s="851"/>
      <c r="AX12" s="849"/>
      <c r="AY12" s="850"/>
      <c r="AZ12" s="850"/>
      <c r="BA12" s="849"/>
      <c r="BB12" s="839"/>
      <c r="BC12" s="891"/>
      <c r="BD12" s="851"/>
      <c r="BE12" s="851"/>
      <c r="BF12" s="852"/>
      <c r="BG12" s="853"/>
      <c r="BH12" s="851"/>
      <c r="BI12" s="852"/>
      <c r="BJ12" s="854"/>
      <c r="BK12" s="890"/>
      <c r="BL12" s="821"/>
      <c r="BM12" s="1295"/>
      <c r="BN12" s="1303"/>
      <c r="BO12" s="821"/>
      <c r="BP12" s="1256"/>
      <c r="BQ12" s="1308"/>
      <c r="BR12" s="1313"/>
      <c r="BS12" s="1315"/>
      <c r="BT12" s="1319"/>
      <c r="BU12" s="1286"/>
      <c r="BV12" s="1326"/>
      <c r="BY12" s="626" t="s">
        <v>1050</v>
      </c>
      <c r="CA12" s="1260">
        <v>10192.36</v>
      </c>
      <c r="CC12" s="648"/>
      <c r="CD12" s="628" t="s">
        <v>1072</v>
      </c>
      <c r="CF12" s="20"/>
      <c r="CG12" s="2"/>
      <c r="CH12" s="2"/>
      <c r="CI12" s="143"/>
      <c r="CJ12" s="4"/>
      <c r="CK12" s="22"/>
      <c r="CL12" s="323"/>
    </row>
    <row r="13" spans="1:90" ht="31" x14ac:dyDescent="0.35">
      <c r="A13" s="180" t="s">
        <v>752</v>
      </c>
      <c r="B13" s="9"/>
      <c r="C13" s="181"/>
      <c r="D13" s="822"/>
      <c r="E13" s="626"/>
      <c r="F13" s="823"/>
      <c r="G13" s="862"/>
      <c r="H13" s="863"/>
      <c r="I13" s="864"/>
      <c r="J13" s="827"/>
      <c r="K13" s="828"/>
      <c r="L13" s="865"/>
      <c r="M13" s="830"/>
      <c r="N13" s="831"/>
      <c r="O13" s="832"/>
      <c r="P13" s="833"/>
      <c r="Q13" s="834"/>
      <c r="R13" s="834"/>
      <c r="S13" s="864"/>
      <c r="T13" s="180"/>
      <c r="U13" s="866"/>
      <c r="V13" s="867"/>
      <c r="W13" s="868"/>
      <c r="X13" s="869"/>
      <c r="Y13" s="870"/>
      <c r="Z13" s="838"/>
      <c r="AA13" s="871"/>
      <c r="AB13" s="872"/>
      <c r="AC13" s="873"/>
      <c r="AD13" s="874"/>
      <c r="AE13" s="875"/>
      <c r="AF13" s="876"/>
      <c r="AG13" s="877"/>
      <c r="AH13" s="878"/>
      <c r="AI13" s="877"/>
      <c r="AJ13" s="879"/>
      <c r="AK13" s="880"/>
      <c r="AL13" s="881"/>
      <c r="AM13" s="806"/>
      <c r="AN13" s="882"/>
      <c r="AO13" s="883"/>
      <c r="AP13" s="884"/>
      <c r="AQ13" s="885"/>
      <c r="AR13" s="886"/>
      <c r="AS13" s="887"/>
      <c r="AT13" s="882"/>
      <c r="AU13" s="888"/>
      <c r="AV13" s="889"/>
      <c r="AW13" s="851"/>
      <c r="AX13" s="849"/>
      <c r="AY13" s="850"/>
      <c r="AZ13" s="850"/>
      <c r="BA13" s="849"/>
      <c r="BB13" s="839"/>
      <c r="BC13" s="891"/>
      <c r="BD13" s="851"/>
      <c r="BE13" s="851"/>
      <c r="BF13" s="852"/>
      <c r="BG13" s="853"/>
      <c r="BH13" s="851"/>
      <c r="BI13" s="852"/>
      <c r="BJ13" s="854"/>
      <c r="BK13" s="890"/>
      <c r="BL13" s="821"/>
      <c r="BM13" s="1295">
        <v>312</v>
      </c>
      <c r="BN13" s="1303">
        <f>12*26</f>
        <v>312</v>
      </c>
      <c r="BO13" s="821"/>
      <c r="BP13" s="1256">
        <v>78</v>
      </c>
      <c r="BQ13" s="1308">
        <f t="shared" ref="BQ13:BQ20" si="3">BV13+BP13</f>
        <v>390</v>
      </c>
      <c r="BR13" s="1313">
        <v>312</v>
      </c>
      <c r="BS13" s="1315">
        <f t="shared" si="2"/>
        <v>1</v>
      </c>
      <c r="BT13" s="1319">
        <v>312</v>
      </c>
      <c r="BU13" s="1261" t="s">
        <v>1011</v>
      </c>
      <c r="BV13" s="1326">
        <f>'Natwest Expenses'!T132</f>
        <v>312</v>
      </c>
      <c r="BY13" s="626" t="s">
        <v>1033</v>
      </c>
      <c r="BZ13" s="180"/>
      <c r="CA13" s="632">
        <v>28000</v>
      </c>
      <c r="CC13" s="648"/>
      <c r="CD13" s="1254" t="s">
        <v>1044</v>
      </c>
      <c r="CF13" s="20"/>
      <c r="CG13" s="2"/>
      <c r="CH13" s="2"/>
      <c r="CI13" s="143"/>
      <c r="CJ13" s="4"/>
      <c r="CK13" s="22"/>
      <c r="CL13" s="323"/>
    </row>
    <row r="14" spans="1:90" x14ac:dyDescent="0.35">
      <c r="A14" s="180" t="s">
        <v>749</v>
      </c>
      <c r="B14" s="9"/>
      <c r="C14" s="181"/>
      <c r="D14" s="822"/>
      <c r="E14" s="626"/>
      <c r="F14" s="823"/>
      <c r="G14" s="862"/>
      <c r="H14" s="863"/>
      <c r="I14" s="864"/>
      <c r="J14" s="827"/>
      <c r="K14" s="828"/>
      <c r="L14" s="865"/>
      <c r="M14" s="830"/>
      <c r="N14" s="831"/>
      <c r="O14" s="832"/>
      <c r="P14" s="833"/>
      <c r="Q14" s="834"/>
      <c r="R14" s="834"/>
      <c r="S14" s="864"/>
      <c r="T14" s="180"/>
      <c r="U14" s="866"/>
      <c r="V14" s="867"/>
      <c r="W14" s="868"/>
      <c r="X14" s="869"/>
      <c r="Y14" s="870"/>
      <c r="Z14" s="838"/>
      <c r="AA14" s="871"/>
      <c r="AB14" s="872"/>
      <c r="AC14" s="873"/>
      <c r="AD14" s="874"/>
      <c r="AE14" s="875"/>
      <c r="AF14" s="876"/>
      <c r="AG14" s="877"/>
      <c r="AH14" s="878"/>
      <c r="AI14" s="877"/>
      <c r="AJ14" s="879"/>
      <c r="AK14" s="880"/>
      <c r="AL14" s="881"/>
      <c r="AM14" s="806"/>
      <c r="AN14" s="882"/>
      <c r="AO14" s="883"/>
      <c r="AP14" s="884"/>
      <c r="AQ14" s="885"/>
      <c r="AR14" s="886"/>
      <c r="AS14" s="887"/>
      <c r="AT14" s="882"/>
      <c r="AU14" s="888"/>
      <c r="AV14" s="889"/>
      <c r="AW14" s="851"/>
      <c r="AX14" s="849"/>
      <c r="AY14" s="850"/>
      <c r="AZ14" s="850"/>
      <c r="BA14" s="849"/>
      <c r="BB14" s="839"/>
      <c r="BC14" s="891"/>
      <c r="BD14" s="851"/>
      <c r="BE14" s="851"/>
      <c r="BF14" s="852"/>
      <c r="BG14" s="853"/>
      <c r="BH14" s="851"/>
      <c r="BI14" s="852"/>
      <c r="BJ14" s="854"/>
      <c r="BK14" s="890"/>
      <c r="BL14" s="821"/>
      <c r="BM14" s="1295">
        <v>450</v>
      </c>
      <c r="BN14" s="1303">
        <f>25*12</f>
        <v>300</v>
      </c>
      <c r="BO14" s="821"/>
      <c r="BP14" s="1256">
        <v>0</v>
      </c>
      <c r="BQ14" s="1308">
        <f t="shared" si="3"/>
        <v>0</v>
      </c>
      <c r="BR14" s="1313">
        <v>0</v>
      </c>
      <c r="BS14" s="1315">
        <f t="shared" si="2"/>
        <v>0</v>
      </c>
      <c r="BT14" s="1319">
        <v>0</v>
      </c>
      <c r="BV14" s="1326">
        <f>'Natwest Expenses'!Q132</f>
        <v>0</v>
      </c>
      <c r="BY14" s="626" t="s">
        <v>1034</v>
      </c>
      <c r="BZ14" s="180"/>
      <c r="CA14" s="1182"/>
      <c r="CB14" s="1183">
        <f>SUM(CA8:CA13)</f>
        <v>488022.26</v>
      </c>
      <c r="CC14" s="630"/>
      <c r="CD14" s="628"/>
      <c r="CF14" s="20"/>
      <c r="CG14" s="2"/>
      <c r="CH14" s="2"/>
      <c r="CI14" s="143"/>
      <c r="CJ14" s="4"/>
      <c r="CK14" s="22"/>
      <c r="CL14" s="323"/>
    </row>
    <row r="15" spans="1:90" x14ac:dyDescent="0.35">
      <c r="A15" s="180" t="s">
        <v>776</v>
      </c>
      <c r="B15" s="9"/>
      <c r="C15" s="181"/>
      <c r="D15" s="822"/>
      <c r="E15" s="626"/>
      <c r="F15" s="823"/>
      <c r="G15" s="862"/>
      <c r="H15" s="863"/>
      <c r="I15" s="864"/>
      <c r="J15" s="827"/>
      <c r="K15" s="828"/>
      <c r="L15" s="865"/>
      <c r="M15" s="830"/>
      <c r="N15" s="831"/>
      <c r="O15" s="832"/>
      <c r="P15" s="833"/>
      <c r="Q15" s="834"/>
      <c r="R15" s="834"/>
      <c r="S15" s="864"/>
      <c r="T15" s="180"/>
      <c r="U15" s="866"/>
      <c r="V15" s="867"/>
      <c r="W15" s="868"/>
      <c r="X15" s="869"/>
      <c r="Y15" s="870"/>
      <c r="Z15" s="838"/>
      <c r="AA15" s="871"/>
      <c r="AB15" s="872"/>
      <c r="AC15" s="873"/>
      <c r="AD15" s="874"/>
      <c r="AE15" s="875"/>
      <c r="AF15" s="876"/>
      <c r="AG15" s="877"/>
      <c r="AH15" s="878"/>
      <c r="AI15" s="877"/>
      <c r="AJ15" s="879"/>
      <c r="AK15" s="880"/>
      <c r="AL15" s="881"/>
      <c r="AM15" s="806"/>
      <c r="AN15" s="882"/>
      <c r="AO15" s="883"/>
      <c r="AP15" s="884"/>
      <c r="AQ15" s="885"/>
      <c r="AR15" s="886"/>
      <c r="AS15" s="887"/>
      <c r="AT15" s="882"/>
      <c r="AU15" s="888"/>
      <c r="AV15" s="889"/>
      <c r="AW15" s="851"/>
      <c r="AX15" s="849"/>
      <c r="AY15" s="850"/>
      <c r="AZ15" s="850"/>
      <c r="BA15" s="849"/>
      <c r="BB15" s="839"/>
      <c r="BC15" s="891"/>
      <c r="BD15" s="851"/>
      <c r="BE15" s="851"/>
      <c r="BF15" s="852"/>
      <c r="BG15" s="853"/>
      <c r="BH15" s="851"/>
      <c r="BI15" s="852"/>
      <c r="BJ15" s="854"/>
      <c r="BK15" s="890"/>
      <c r="BL15" s="821"/>
      <c r="BM15" s="1295">
        <v>56.18</v>
      </c>
      <c r="BN15" s="1303"/>
      <c r="BO15" s="821"/>
      <c r="BP15" s="1256">
        <v>36</v>
      </c>
      <c r="BQ15" s="1308">
        <f t="shared" si="3"/>
        <v>72</v>
      </c>
      <c r="BR15" s="1313">
        <v>36</v>
      </c>
      <c r="BS15" s="1315"/>
      <c r="BT15" s="1319">
        <v>72</v>
      </c>
      <c r="BU15" s="1261" t="s">
        <v>1145</v>
      </c>
      <c r="BV15" s="1326">
        <f>'Unity Trust Bank'!M20</f>
        <v>36</v>
      </c>
      <c r="BY15" s="626"/>
      <c r="BZ15" s="180"/>
      <c r="CA15" s="1182"/>
      <c r="CB15" s="649"/>
      <c r="CC15" s="630"/>
      <c r="CD15" s="628"/>
      <c r="CF15" s="20"/>
      <c r="CG15" s="2"/>
      <c r="CH15" s="2"/>
      <c r="CI15" s="143"/>
      <c r="CJ15" s="4"/>
      <c r="CK15" s="22"/>
      <c r="CL15" s="323"/>
    </row>
    <row r="16" spans="1:90" ht="40.5" customHeight="1" x14ac:dyDescent="0.35">
      <c r="A16" s="638" t="s">
        <v>750</v>
      </c>
      <c r="B16" s="9">
        <v>500</v>
      </c>
      <c r="C16" s="181">
        <v>102.14</v>
      </c>
      <c r="D16" s="822">
        <f t="shared" ref="D16:D52" si="4">C16/B16</f>
        <v>0.20427999999999999</v>
      </c>
      <c r="E16" s="626">
        <v>314.33999999999997</v>
      </c>
      <c r="F16" s="823">
        <f t="shared" ref="F16:F52" si="5">E16/B16</f>
        <v>0.62867999999999991</v>
      </c>
      <c r="G16" s="892">
        <f>E16/10*12</f>
        <v>377.20799999999997</v>
      </c>
      <c r="H16" s="893">
        <v>609.78</v>
      </c>
      <c r="I16" s="864">
        <v>500</v>
      </c>
      <c r="J16" s="827">
        <f>695.68+23</f>
        <v>718.68</v>
      </c>
      <c r="K16" s="828">
        <f t="shared" ref="K16:K49" si="6">J16/I16</f>
        <v>1.43736</v>
      </c>
      <c r="L16" s="865">
        <v>500</v>
      </c>
      <c r="M16" s="830">
        <v>390.47</v>
      </c>
      <c r="N16" s="831">
        <f t="shared" si="0"/>
        <v>0.78094000000000008</v>
      </c>
      <c r="O16" s="832">
        <v>203.61</v>
      </c>
      <c r="P16" s="833">
        <f>O16/L16</f>
        <v>0.40722000000000003</v>
      </c>
      <c r="Q16" s="834"/>
      <c r="R16" s="834"/>
      <c r="S16" s="864"/>
      <c r="T16" s="180"/>
      <c r="U16" s="866">
        <v>307.14999999999998</v>
      </c>
      <c r="V16" s="867">
        <f t="shared" ref="V16:V60" si="7">U16/L16</f>
        <v>0.61429999999999996</v>
      </c>
      <c r="W16" s="868">
        <v>475.15</v>
      </c>
      <c r="X16" s="869">
        <f t="shared" ref="X16:X60" si="8">W16/L16</f>
        <v>0.95029999999999992</v>
      </c>
      <c r="Y16" s="870">
        <v>180</v>
      </c>
      <c r="Z16" s="838">
        <v>525</v>
      </c>
      <c r="AA16" s="871">
        <v>99.61</v>
      </c>
      <c r="AB16" s="872">
        <f t="shared" ref="AB16:AB62" si="9">AA16/Z16</f>
        <v>0.18973333333333334</v>
      </c>
      <c r="AC16" s="873">
        <v>315.74</v>
      </c>
      <c r="AD16" s="874">
        <f t="shared" ref="AD16:AD62" si="10">AC16/Z16</f>
        <v>0.60140952380952384</v>
      </c>
      <c r="AE16" s="875">
        <v>210</v>
      </c>
      <c r="AF16" s="876">
        <f t="shared" ref="AF16:AF67" si="11">AE16+AC16</f>
        <v>525.74</v>
      </c>
      <c r="AG16" s="877">
        <f t="shared" ref="AG16:AG67" si="12">AF16/Z16</f>
        <v>1.0014095238095237</v>
      </c>
      <c r="AH16" s="878">
        <v>587.17999999999995</v>
      </c>
      <c r="AI16" s="877">
        <f t="shared" ref="AI16:AI62" si="13">AH16/Z16</f>
        <v>1.1184380952380952</v>
      </c>
      <c r="AJ16" s="879">
        <v>600</v>
      </c>
      <c r="AK16" s="880" t="s">
        <v>144</v>
      </c>
      <c r="AL16" s="805"/>
      <c r="AM16" s="806"/>
      <c r="AN16" s="882">
        <v>574.29</v>
      </c>
      <c r="AO16" s="883">
        <f>913.63-309.35</f>
        <v>604.28</v>
      </c>
      <c r="AP16" s="884">
        <v>577.44000000000005</v>
      </c>
      <c r="AQ16" s="885">
        <v>200</v>
      </c>
      <c r="AR16" s="886">
        <f t="shared" ref="AR16:AR62" si="14">AO16+AQ16</f>
        <v>804.28</v>
      </c>
      <c r="AS16" s="887">
        <f>AP16/AJ16</f>
        <v>0.96240000000000014</v>
      </c>
      <c r="AT16" s="882"/>
      <c r="AU16" s="888">
        <v>800</v>
      </c>
      <c r="AV16" s="889" t="s">
        <v>222</v>
      </c>
      <c r="AW16" s="851">
        <v>1037.6300000000001</v>
      </c>
      <c r="AX16" s="849">
        <f>AW16/AU16</f>
        <v>1.2970375000000001</v>
      </c>
      <c r="AY16" s="850">
        <v>121.17</v>
      </c>
      <c r="AZ16" s="850">
        <f t="shared" ref="AZ16:AZ63" si="15">AW16+AY16</f>
        <v>1158.8000000000002</v>
      </c>
      <c r="BA16" s="849">
        <f>AZ16/AU16</f>
        <v>1.4485000000000001</v>
      </c>
      <c r="BB16" s="839">
        <v>800</v>
      </c>
      <c r="BC16" s="848" t="s">
        <v>250</v>
      </c>
      <c r="BD16" s="851">
        <v>487.7</v>
      </c>
      <c r="BE16" s="851">
        <v>738.29</v>
      </c>
      <c r="BF16" s="852">
        <f>BE16/BB16</f>
        <v>0.92286249999999992</v>
      </c>
      <c r="BG16" s="853">
        <v>600</v>
      </c>
      <c r="BH16" s="851">
        <f>1027.42-40</f>
        <v>987.42000000000007</v>
      </c>
      <c r="BI16" s="852">
        <f>BH16/BG16</f>
        <v>1.6457000000000002</v>
      </c>
      <c r="BJ16" s="854">
        <v>250</v>
      </c>
      <c r="BK16" s="890">
        <f t="shared" si="1"/>
        <v>1237.42</v>
      </c>
      <c r="BL16" s="894" t="s">
        <v>367</v>
      </c>
      <c r="BM16" s="1295">
        <v>301.52999999999997</v>
      </c>
      <c r="BN16" s="1303">
        <v>600</v>
      </c>
      <c r="BO16" s="894"/>
      <c r="BP16" s="1257">
        <f>BV16/8*4</f>
        <v>127.145</v>
      </c>
      <c r="BQ16" s="1308">
        <f t="shared" si="3"/>
        <v>381.435</v>
      </c>
      <c r="BR16" s="1313">
        <v>254.29</v>
      </c>
      <c r="BS16" s="1315">
        <f t="shared" si="2"/>
        <v>0.42381666666666667</v>
      </c>
      <c r="BT16" s="1320">
        <v>500</v>
      </c>
      <c r="BU16" s="1287"/>
      <c r="BV16" s="1327">
        <f>'Natwest Expenses'!V132</f>
        <v>254.29</v>
      </c>
      <c r="BY16" s="626"/>
      <c r="BZ16" s="180"/>
      <c r="CA16" s="1184"/>
      <c r="CB16" s="650"/>
      <c r="CC16" s="630"/>
      <c r="CD16" s="628"/>
      <c r="CF16" s="20" t="s">
        <v>49</v>
      </c>
      <c r="CG16" s="2"/>
      <c r="CH16" s="2" t="s">
        <v>156</v>
      </c>
      <c r="CI16" s="212">
        <v>0</v>
      </c>
      <c r="CJ16" s="4"/>
      <c r="CK16" s="22"/>
      <c r="CL16" s="323"/>
    </row>
    <row r="17" spans="1:90" x14ac:dyDescent="0.35">
      <c r="A17" s="180" t="s">
        <v>751</v>
      </c>
      <c r="B17" s="9"/>
      <c r="C17" s="181"/>
      <c r="D17" s="822"/>
      <c r="E17" s="626"/>
      <c r="F17" s="823"/>
      <c r="G17" s="892"/>
      <c r="H17" s="893"/>
      <c r="I17" s="864"/>
      <c r="J17" s="827"/>
      <c r="K17" s="828"/>
      <c r="L17" s="865"/>
      <c r="M17" s="830"/>
      <c r="N17" s="831"/>
      <c r="O17" s="832"/>
      <c r="P17" s="833"/>
      <c r="Q17" s="834"/>
      <c r="R17" s="834"/>
      <c r="S17" s="864"/>
      <c r="T17" s="180"/>
      <c r="U17" s="866"/>
      <c r="V17" s="867"/>
      <c r="W17" s="868"/>
      <c r="X17" s="869"/>
      <c r="Y17" s="870"/>
      <c r="Z17" s="838"/>
      <c r="AA17" s="871"/>
      <c r="AB17" s="872"/>
      <c r="AC17" s="873"/>
      <c r="AD17" s="874"/>
      <c r="AE17" s="875"/>
      <c r="AF17" s="876"/>
      <c r="AG17" s="877"/>
      <c r="AH17" s="878"/>
      <c r="AI17" s="877"/>
      <c r="AJ17" s="879"/>
      <c r="AK17" s="880"/>
      <c r="AL17" s="805"/>
      <c r="AM17" s="806"/>
      <c r="AN17" s="882"/>
      <c r="AO17" s="883"/>
      <c r="AP17" s="884"/>
      <c r="AQ17" s="885"/>
      <c r="AR17" s="886"/>
      <c r="AS17" s="887"/>
      <c r="AT17" s="882"/>
      <c r="AU17" s="888"/>
      <c r="AV17" s="889"/>
      <c r="AW17" s="851">
        <v>573.94000000000005</v>
      </c>
      <c r="AX17" s="849"/>
      <c r="AY17" s="850"/>
      <c r="AZ17" s="850"/>
      <c r="BA17" s="849"/>
      <c r="BB17" s="839"/>
      <c r="BC17" s="848"/>
      <c r="BD17" s="851">
        <v>2965.2</v>
      </c>
      <c r="BE17" s="851">
        <v>2965.2</v>
      </c>
      <c r="BF17" s="852"/>
      <c r="BG17" s="853"/>
      <c r="BH17" s="851">
        <v>0</v>
      </c>
      <c r="BI17" s="852"/>
      <c r="BJ17" s="854">
        <v>0</v>
      </c>
      <c r="BK17" s="890">
        <f t="shared" si="1"/>
        <v>0</v>
      </c>
      <c r="BL17" s="821"/>
      <c r="BM17" s="1296">
        <v>0</v>
      </c>
      <c r="BN17" s="1303">
        <v>0</v>
      </c>
      <c r="BO17" s="821"/>
      <c r="BP17" s="1256">
        <v>0</v>
      </c>
      <c r="BQ17" s="1308">
        <f t="shared" si="3"/>
        <v>0</v>
      </c>
      <c r="BR17" s="1313">
        <v>0</v>
      </c>
      <c r="BS17" s="1315"/>
      <c r="BT17" s="1319">
        <v>0</v>
      </c>
      <c r="BV17" s="1326">
        <v>0</v>
      </c>
      <c r="BY17" s="626" t="s">
        <v>49</v>
      </c>
      <c r="BZ17" s="180"/>
      <c r="CA17" s="1181"/>
      <c r="CB17" s="646"/>
      <c r="CC17" s="630"/>
      <c r="CD17" s="628"/>
      <c r="CF17" s="20"/>
      <c r="CG17" s="2"/>
      <c r="CH17" s="2"/>
      <c r="CI17" s="212"/>
      <c r="CJ17" s="4"/>
      <c r="CK17" s="22"/>
      <c r="CL17" s="323"/>
    </row>
    <row r="18" spans="1:90" x14ac:dyDescent="0.35">
      <c r="A18" s="180" t="s">
        <v>11</v>
      </c>
      <c r="B18" s="9"/>
      <c r="C18" s="181"/>
      <c r="D18" s="822"/>
      <c r="E18" s="626"/>
      <c r="F18" s="823"/>
      <c r="G18" s="892">
        <v>0</v>
      </c>
      <c r="H18" s="893"/>
      <c r="I18" s="864">
        <v>50</v>
      </c>
      <c r="J18" s="827"/>
      <c r="K18" s="828"/>
      <c r="L18" s="865">
        <v>50</v>
      </c>
      <c r="M18" s="830">
        <v>39.83</v>
      </c>
      <c r="N18" s="831">
        <f t="shared" si="0"/>
        <v>0.79659999999999997</v>
      </c>
      <c r="O18" s="832">
        <v>39.83</v>
      </c>
      <c r="P18" s="833">
        <f t="shared" ref="P18:P60" si="16">O18/L18</f>
        <v>0.79659999999999997</v>
      </c>
      <c r="Q18" s="834"/>
      <c r="R18" s="834" t="s">
        <v>105</v>
      </c>
      <c r="S18" s="864"/>
      <c r="T18" s="180"/>
      <c r="U18" s="866">
        <v>39.83</v>
      </c>
      <c r="V18" s="867">
        <f t="shared" si="7"/>
        <v>0.79659999999999997</v>
      </c>
      <c r="W18" s="868">
        <v>39.83</v>
      </c>
      <c r="X18" s="869">
        <f t="shared" si="8"/>
        <v>0.79659999999999997</v>
      </c>
      <c r="Y18" s="870"/>
      <c r="Z18" s="838">
        <v>52.5</v>
      </c>
      <c r="AA18" s="871">
        <v>24.99</v>
      </c>
      <c r="AB18" s="872">
        <f t="shared" si="9"/>
        <v>0.47599999999999998</v>
      </c>
      <c r="AC18" s="873">
        <v>24.99</v>
      </c>
      <c r="AD18" s="874">
        <f t="shared" si="10"/>
        <v>0.47599999999999998</v>
      </c>
      <c r="AE18" s="875">
        <v>0</v>
      </c>
      <c r="AF18" s="876">
        <f t="shared" si="11"/>
        <v>24.99</v>
      </c>
      <c r="AG18" s="877">
        <f t="shared" si="12"/>
        <v>0.47599999999999998</v>
      </c>
      <c r="AH18" s="878">
        <v>24.99</v>
      </c>
      <c r="AI18" s="877">
        <f t="shared" si="13"/>
        <v>0.47599999999999998</v>
      </c>
      <c r="AJ18" s="879">
        <v>150</v>
      </c>
      <c r="AK18" s="880"/>
      <c r="AL18" s="805"/>
      <c r="AM18" s="806"/>
      <c r="AN18" s="882"/>
      <c r="AO18" s="883"/>
      <c r="AP18" s="884"/>
      <c r="AQ18" s="885"/>
      <c r="AR18" s="886">
        <f t="shared" si="14"/>
        <v>0</v>
      </c>
      <c r="AS18" s="887">
        <f>AP18/AJ18</f>
        <v>0</v>
      </c>
      <c r="AT18" s="882"/>
      <c r="AU18" s="888">
        <v>150</v>
      </c>
      <c r="AV18" s="889"/>
      <c r="AW18" s="851">
        <v>274.99</v>
      </c>
      <c r="AX18" s="849">
        <f>AW18/AU18</f>
        <v>1.8332666666666668</v>
      </c>
      <c r="AY18" s="850">
        <v>0</v>
      </c>
      <c r="AZ18" s="850">
        <f t="shared" si="15"/>
        <v>274.99</v>
      </c>
      <c r="BA18" s="849">
        <f>AZ18/AU18</f>
        <v>1.8332666666666668</v>
      </c>
      <c r="BB18" s="839">
        <v>150</v>
      </c>
      <c r="BC18" s="855" t="s">
        <v>231</v>
      </c>
      <c r="BD18" s="890">
        <v>0</v>
      </c>
      <c r="BE18" s="890">
        <f>'Natwest Expenses'!W132</f>
        <v>978.1099999999999</v>
      </c>
      <c r="BF18" s="852">
        <f>BE18/BB18</f>
        <v>6.5207333333333324</v>
      </c>
      <c r="BG18" s="853">
        <v>250</v>
      </c>
      <c r="BH18" s="851">
        <v>0</v>
      </c>
      <c r="BI18" s="852">
        <f>BH18/BG18</f>
        <v>0</v>
      </c>
      <c r="BJ18" s="854">
        <v>0</v>
      </c>
      <c r="BK18" s="890">
        <f t="shared" si="1"/>
        <v>0</v>
      </c>
      <c r="BL18" s="821"/>
      <c r="BM18" s="1296">
        <f>'Natwest Expenses'!W132</f>
        <v>978.1099999999999</v>
      </c>
      <c r="BN18" s="1303">
        <v>500</v>
      </c>
      <c r="BO18" s="821" t="s">
        <v>377</v>
      </c>
      <c r="BP18" s="1256">
        <v>0</v>
      </c>
      <c r="BQ18" s="1308">
        <f t="shared" si="3"/>
        <v>978.1099999999999</v>
      </c>
      <c r="BR18" s="1313">
        <v>978.11</v>
      </c>
      <c r="BS18" s="1315">
        <f t="shared" si="2"/>
        <v>1.9562200000000001</v>
      </c>
      <c r="BT18" s="1319">
        <v>600</v>
      </c>
      <c r="BU18" s="1261" t="s">
        <v>1012</v>
      </c>
      <c r="BV18" s="1326">
        <f>'Natwest Expenses'!W132</f>
        <v>978.1099999999999</v>
      </c>
      <c r="BW18" s="620" t="s">
        <v>1149</v>
      </c>
      <c r="BY18" s="626" t="s">
        <v>1035</v>
      </c>
      <c r="BZ18" s="180"/>
      <c r="CA18" s="1181">
        <v>0</v>
      </c>
      <c r="CB18" s="646"/>
      <c r="CC18" s="630"/>
      <c r="CD18" s="628"/>
      <c r="CF18" s="250" t="s">
        <v>198</v>
      </c>
      <c r="CG18" s="251"/>
      <c r="CH18" s="253"/>
      <c r="CI18" s="318">
        <v>0</v>
      </c>
      <c r="CJ18" s="2"/>
      <c r="CK18" s="22"/>
      <c r="CL18" s="323"/>
    </row>
    <row r="19" spans="1:90" x14ac:dyDescent="0.35">
      <c r="A19" s="180" t="s">
        <v>338</v>
      </c>
      <c r="B19" s="9">
        <v>500</v>
      </c>
      <c r="C19" s="181"/>
      <c r="D19" s="822">
        <f t="shared" si="4"/>
        <v>0</v>
      </c>
      <c r="E19" s="626"/>
      <c r="F19" s="823">
        <f t="shared" si="5"/>
        <v>0</v>
      </c>
      <c r="G19" s="892">
        <v>0</v>
      </c>
      <c r="H19" s="893"/>
      <c r="I19" s="864">
        <v>500</v>
      </c>
      <c r="J19" s="827"/>
      <c r="K19" s="828">
        <f t="shared" si="6"/>
        <v>0</v>
      </c>
      <c r="L19" s="865">
        <v>500</v>
      </c>
      <c r="M19" s="830"/>
      <c r="N19" s="831">
        <f t="shared" si="0"/>
        <v>0</v>
      </c>
      <c r="O19" s="832">
        <v>182.5</v>
      </c>
      <c r="P19" s="833">
        <f t="shared" si="16"/>
        <v>0.36499999999999999</v>
      </c>
      <c r="Q19" s="834"/>
      <c r="R19" s="834"/>
      <c r="S19" s="864"/>
      <c r="T19" s="180"/>
      <c r="U19" s="866">
        <v>182.5</v>
      </c>
      <c r="V19" s="867">
        <f t="shared" si="7"/>
        <v>0.36499999999999999</v>
      </c>
      <c r="W19" s="868">
        <v>182.5</v>
      </c>
      <c r="X19" s="869">
        <f t="shared" si="8"/>
        <v>0.36499999999999999</v>
      </c>
      <c r="Y19" s="870">
        <v>175</v>
      </c>
      <c r="Z19" s="838">
        <v>500</v>
      </c>
      <c r="AA19" s="871">
        <v>0</v>
      </c>
      <c r="AB19" s="872">
        <f t="shared" si="9"/>
        <v>0</v>
      </c>
      <c r="AC19" s="873">
        <v>137.5</v>
      </c>
      <c r="AD19" s="874">
        <f t="shared" si="10"/>
        <v>0.27500000000000002</v>
      </c>
      <c r="AE19" s="875">
        <v>100</v>
      </c>
      <c r="AF19" s="876">
        <f t="shared" si="11"/>
        <v>237.5</v>
      </c>
      <c r="AG19" s="877">
        <f t="shared" si="12"/>
        <v>0.47499999999999998</v>
      </c>
      <c r="AH19" s="878">
        <v>137.5</v>
      </c>
      <c r="AI19" s="877">
        <f t="shared" si="13"/>
        <v>0.27500000000000002</v>
      </c>
      <c r="AJ19" s="879">
        <v>500</v>
      </c>
      <c r="AK19" s="880"/>
      <c r="AL19" s="805"/>
      <c r="AM19" s="806"/>
      <c r="AN19" s="882"/>
      <c r="AO19" s="883">
        <v>60</v>
      </c>
      <c r="AP19" s="884">
        <v>60</v>
      </c>
      <c r="AQ19" s="885">
        <v>100</v>
      </c>
      <c r="AR19" s="886">
        <f t="shared" si="14"/>
        <v>160</v>
      </c>
      <c r="AS19" s="887">
        <f>AP19/AJ19</f>
        <v>0.12</v>
      </c>
      <c r="AT19" s="882"/>
      <c r="AU19" s="888">
        <v>500</v>
      </c>
      <c r="AV19" s="889"/>
      <c r="AW19" s="851">
        <v>0</v>
      </c>
      <c r="AX19" s="849">
        <f>AW19/AU19</f>
        <v>0</v>
      </c>
      <c r="AY19" s="850">
        <v>125</v>
      </c>
      <c r="AZ19" s="850">
        <f t="shared" si="15"/>
        <v>125</v>
      </c>
      <c r="BA19" s="849">
        <f>AZ19/AU19</f>
        <v>0.25</v>
      </c>
      <c r="BB19" s="839">
        <v>500</v>
      </c>
      <c r="BC19" s="848"/>
      <c r="BD19" s="851"/>
      <c r="BE19" s="851">
        <v>20</v>
      </c>
      <c r="BF19" s="852">
        <f>BE19/BB19</f>
        <v>0.04</v>
      </c>
      <c r="BG19" s="853">
        <v>500</v>
      </c>
      <c r="BH19" s="851">
        <v>12.5</v>
      </c>
      <c r="BI19" s="852">
        <f>BH19/BG19</f>
        <v>2.5000000000000001E-2</v>
      </c>
      <c r="BJ19" s="854">
        <v>100</v>
      </c>
      <c r="BK19" s="890">
        <f t="shared" si="1"/>
        <v>112.5</v>
      </c>
      <c r="BL19" s="821"/>
      <c r="BM19" s="1295">
        <v>169.5</v>
      </c>
      <c r="BN19" s="1303">
        <v>500</v>
      </c>
      <c r="BO19" s="821"/>
      <c r="BP19" s="1256">
        <f>BV19/8*4</f>
        <v>59</v>
      </c>
      <c r="BQ19" s="1308">
        <f t="shared" si="3"/>
        <v>177</v>
      </c>
      <c r="BR19" s="1313">
        <v>118</v>
      </c>
      <c r="BS19" s="1315">
        <f t="shared" si="2"/>
        <v>0.23599999999999999</v>
      </c>
      <c r="BT19" s="1319">
        <v>500</v>
      </c>
      <c r="BV19" s="1326">
        <f>'Natwest Expenses'!X132</f>
        <v>118</v>
      </c>
      <c r="BY19" s="626" t="s">
        <v>1036</v>
      </c>
      <c r="BZ19" s="1185"/>
      <c r="CA19" s="631">
        <v>0</v>
      </c>
      <c r="CB19" s="650"/>
      <c r="CC19" s="630"/>
      <c r="CD19" s="628"/>
      <c r="CF19" s="20"/>
      <c r="CG19" s="2"/>
      <c r="CH19" s="4"/>
      <c r="CI19" s="2"/>
      <c r="CJ19" s="213">
        <f>SUM(CI16:CI18)</f>
        <v>0</v>
      </c>
      <c r="CK19" s="22"/>
      <c r="CL19" s="323"/>
    </row>
    <row r="20" spans="1:90" ht="15.75" customHeight="1" x14ac:dyDescent="0.35">
      <c r="A20" s="895" t="s">
        <v>13</v>
      </c>
      <c r="B20" s="342">
        <v>1500</v>
      </c>
      <c r="C20" s="343">
        <v>230</v>
      </c>
      <c r="D20" s="896">
        <f t="shared" si="4"/>
        <v>0.15333333333333332</v>
      </c>
      <c r="E20" s="897">
        <v>1184.5</v>
      </c>
      <c r="F20" s="898">
        <f t="shared" si="5"/>
        <v>0.78966666666666663</v>
      </c>
      <c r="G20" s="899">
        <f>(E20-470)/10*12</f>
        <v>857.40000000000009</v>
      </c>
      <c r="H20" s="900">
        <v>1269.5</v>
      </c>
      <c r="I20" s="901">
        <v>1000</v>
      </c>
      <c r="J20" s="902">
        <v>1380</v>
      </c>
      <c r="K20" s="903">
        <f t="shared" si="6"/>
        <v>1.38</v>
      </c>
      <c r="L20" s="865">
        <v>1000</v>
      </c>
      <c r="M20" s="904">
        <v>102</v>
      </c>
      <c r="N20" s="905">
        <f t="shared" si="0"/>
        <v>0.10199999999999999</v>
      </c>
      <c r="O20" s="906">
        <v>323</v>
      </c>
      <c r="P20" s="907">
        <f t="shared" si="16"/>
        <v>0.32300000000000001</v>
      </c>
      <c r="Q20" s="908"/>
      <c r="R20" s="908"/>
      <c r="S20" s="895" t="s">
        <v>14</v>
      </c>
      <c r="T20" s="895"/>
      <c r="U20" s="909">
        <v>527</v>
      </c>
      <c r="V20" s="910">
        <f t="shared" si="7"/>
        <v>0.52700000000000002</v>
      </c>
      <c r="W20" s="911">
        <v>680</v>
      </c>
      <c r="X20" s="912">
        <f t="shared" si="8"/>
        <v>0.68</v>
      </c>
      <c r="Y20" s="913">
        <v>204</v>
      </c>
      <c r="Z20" s="914">
        <v>850</v>
      </c>
      <c r="AA20" s="915">
        <v>177</v>
      </c>
      <c r="AB20" s="916">
        <f t="shared" si="9"/>
        <v>0.20823529411764705</v>
      </c>
      <c r="AC20" s="917">
        <v>470</v>
      </c>
      <c r="AD20" s="918">
        <f t="shared" si="10"/>
        <v>0.55294117647058827</v>
      </c>
      <c r="AE20" s="919">
        <v>415</v>
      </c>
      <c r="AF20" s="920">
        <f t="shared" si="11"/>
        <v>885</v>
      </c>
      <c r="AG20" s="921">
        <f t="shared" si="12"/>
        <v>1.0411764705882354</v>
      </c>
      <c r="AH20" s="922">
        <v>858.5</v>
      </c>
      <c r="AI20" s="921">
        <f t="shared" si="13"/>
        <v>1.01</v>
      </c>
      <c r="AJ20" s="923"/>
      <c r="AK20" s="924" t="s">
        <v>145</v>
      </c>
      <c r="AL20" s="925">
        <v>1050</v>
      </c>
      <c r="AM20" s="926">
        <v>885</v>
      </c>
      <c r="AN20" s="927"/>
      <c r="AO20" s="928">
        <v>0</v>
      </c>
      <c r="AP20" s="929"/>
      <c r="AQ20" s="930"/>
      <c r="AR20" s="931">
        <f t="shared" si="14"/>
        <v>0</v>
      </c>
      <c r="AS20" s="932"/>
      <c r="AT20" s="927"/>
      <c r="AU20" s="923"/>
      <c r="AV20" s="933" t="s">
        <v>210</v>
      </c>
      <c r="AW20" s="934"/>
      <c r="AX20" s="935"/>
      <c r="AY20" s="935"/>
      <c r="AZ20" s="935"/>
      <c r="BA20" s="935"/>
      <c r="BB20" s="935"/>
      <c r="BC20" s="935"/>
      <c r="BD20" s="935"/>
      <c r="BE20" s="935"/>
      <c r="BF20" s="935"/>
      <c r="BG20" s="935"/>
      <c r="BH20" s="936"/>
      <c r="BI20" s="937"/>
      <c r="BJ20" s="938"/>
      <c r="BK20" s="938"/>
      <c r="BL20" s="938"/>
      <c r="BM20" s="1297"/>
      <c r="BN20" s="1304"/>
      <c r="BO20" s="821"/>
      <c r="BP20" s="1258"/>
      <c r="BQ20" s="1309">
        <f t="shared" si="3"/>
        <v>0</v>
      </c>
      <c r="BR20" s="1314"/>
      <c r="BS20" s="1314"/>
      <c r="BT20" s="1321"/>
      <c r="BU20" s="1288"/>
      <c r="BV20" s="1328"/>
      <c r="BY20" s="626"/>
      <c r="BZ20" s="647"/>
      <c r="CA20" s="650"/>
      <c r="CB20" s="632">
        <f>SUM(CA17:CA19)</f>
        <v>0</v>
      </c>
      <c r="CC20" s="630"/>
      <c r="CD20" s="628"/>
      <c r="CF20" s="250" t="s">
        <v>199</v>
      </c>
      <c r="CG20" s="251"/>
      <c r="CH20" s="251"/>
      <c r="CI20" s="254"/>
      <c r="CJ20" s="252"/>
      <c r="CK20" s="245">
        <f>SUM(CJ10:CJ19)</f>
        <v>49575</v>
      </c>
      <c r="CL20" s="323"/>
    </row>
    <row r="21" spans="1:90" x14ac:dyDescent="0.35">
      <c r="A21" s="180" t="s">
        <v>15</v>
      </c>
      <c r="B21" s="9">
        <v>1343.12</v>
      </c>
      <c r="C21" s="181"/>
      <c r="D21" s="822">
        <f t="shared" si="4"/>
        <v>0</v>
      </c>
      <c r="E21" s="626">
        <v>0</v>
      </c>
      <c r="F21" s="823">
        <f t="shared" si="5"/>
        <v>0</v>
      </c>
      <c r="G21" s="892">
        <v>1413.13</v>
      </c>
      <c r="H21" s="893">
        <v>1413.13</v>
      </c>
      <c r="I21" s="939">
        <v>1413.13</v>
      </c>
      <c r="J21" s="827">
        <v>1413.12</v>
      </c>
      <c r="K21" s="828">
        <f t="shared" si="6"/>
        <v>0.99999292351022184</v>
      </c>
      <c r="L21" s="865">
        <v>1413.12</v>
      </c>
      <c r="M21" s="830"/>
      <c r="N21" s="831">
        <f t="shared" si="0"/>
        <v>0</v>
      </c>
      <c r="O21" s="832">
        <v>0</v>
      </c>
      <c r="P21" s="833">
        <f t="shared" si="16"/>
        <v>0</v>
      </c>
      <c r="Q21" s="834"/>
      <c r="R21" s="834"/>
      <c r="S21" s="939" t="s">
        <v>16</v>
      </c>
      <c r="T21" s="180"/>
      <c r="U21" s="866"/>
      <c r="V21" s="867">
        <f t="shared" si="7"/>
        <v>0</v>
      </c>
      <c r="W21" s="868">
        <v>1469.66</v>
      </c>
      <c r="X21" s="869">
        <f t="shared" si="8"/>
        <v>1.0400107563405798</v>
      </c>
      <c r="Y21" s="870">
        <v>1500</v>
      </c>
      <c r="Z21" s="838">
        <v>1500</v>
      </c>
      <c r="AA21" s="871"/>
      <c r="AB21" s="872">
        <f t="shared" si="9"/>
        <v>0</v>
      </c>
      <c r="AC21" s="873"/>
      <c r="AD21" s="874">
        <f t="shared" si="10"/>
        <v>0</v>
      </c>
      <c r="AE21" s="875">
        <v>1500</v>
      </c>
      <c r="AF21" s="876">
        <f t="shared" si="11"/>
        <v>1500</v>
      </c>
      <c r="AG21" s="877">
        <f t="shared" si="12"/>
        <v>1</v>
      </c>
      <c r="AH21" s="878">
        <v>533.49</v>
      </c>
      <c r="AI21" s="877">
        <f t="shared" si="13"/>
        <v>0.35566000000000003</v>
      </c>
      <c r="AJ21" s="879">
        <v>1500</v>
      </c>
      <c r="AK21" s="880" t="s">
        <v>139</v>
      </c>
      <c r="AL21" s="881">
        <v>900</v>
      </c>
      <c r="AM21" s="806"/>
      <c r="AN21" s="882"/>
      <c r="AO21" s="883">
        <v>0</v>
      </c>
      <c r="AP21" s="884">
        <v>319.02999999999997</v>
      </c>
      <c r="AQ21" s="885">
        <v>600</v>
      </c>
      <c r="AR21" s="886">
        <f t="shared" si="14"/>
        <v>600</v>
      </c>
      <c r="AS21" s="887">
        <f>AP21/AJ21</f>
        <v>0.21268666666666664</v>
      </c>
      <c r="AT21" s="882" t="s">
        <v>191</v>
      </c>
      <c r="AU21" s="888">
        <v>650</v>
      </c>
      <c r="AV21" s="889">
        <v>650</v>
      </c>
      <c r="AW21" s="851">
        <v>281.58999999999997</v>
      </c>
      <c r="AX21" s="849">
        <f>AW21/AU21</f>
        <v>0.43321538461538456</v>
      </c>
      <c r="AY21" s="850">
        <v>350</v>
      </c>
      <c r="AZ21" s="850">
        <f t="shared" si="15"/>
        <v>631.58999999999992</v>
      </c>
      <c r="BA21" s="849">
        <f>AZ21/AU21</f>
        <v>0.97167692307692299</v>
      </c>
      <c r="BB21" s="940">
        <v>440</v>
      </c>
      <c r="BC21" s="941" t="s">
        <v>260</v>
      </c>
      <c r="BD21" s="942">
        <v>0</v>
      </c>
      <c r="BE21" s="851">
        <v>254.63</v>
      </c>
      <c r="BF21" s="852">
        <f>BE21/BB21</f>
        <v>0.57870454545454542</v>
      </c>
      <c r="BG21" s="853">
        <v>325</v>
      </c>
      <c r="BH21" s="851"/>
      <c r="BI21" s="852">
        <f>BH21/BG21</f>
        <v>0</v>
      </c>
      <c r="BJ21" s="854">
        <v>440</v>
      </c>
      <c r="BK21" s="890">
        <f t="shared" si="1"/>
        <v>440</v>
      </c>
      <c r="BL21" s="821"/>
      <c r="BM21" s="1295">
        <v>273.83999999999997</v>
      </c>
      <c r="BN21" s="1303">
        <v>500</v>
      </c>
      <c r="BO21" s="821"/>
      <c r="BP21" s="1256">
        <v>320</v>
      </c>
      <c r="BQ21" s="1308">
        <v>320</v>
      </c>
      <c r="BR21" s="1313">
        <v>398.77</v>
      </c>
      <c r="BS21" s="1315">
        <f t="shared" si="2"/>
        <v>0.79753999999999992</v>
      </c>
      <c r="BT21" s="1319">
        <v>320</v>
      </c>
      <c r="BU21" s="1289">
        <v>0.15</v>
      </c>
      <c r="BV21" s="1326">
        <f>'Natwest Expenses'!AA132</f>
        <v>398.77</v>
      </c>
      <c r="BY21" s="634" t="s">
        <v>1037</v>
      </c>
      <c r="BZ21" s="180"/>
      <c r="CA21" s="1180"/>
      <c r="CB21" s="646"/>
      <c r="CC21" s="633">
        <f>SUM(CB6:CB20)</f>
        <v>488022.26</v>
      </c>
      <c r="CD21" s="180"/>
      <c r="CF21" s="20" t="s">
        <v>50</v>
      </c>
      <c r="CG21" s="2"/>
      <c r="CH21" s="2"/>
      <c r="CI21" s="73"/>
      <c r="CJ21" s="2"/>
      <c r="CK21" s="70">
        <f>CK22-CK3-CK20</f>
        <v>437048.15999999992</v>
      </c>
      <c r="CL21" s="324" t="s">
        <v>240</v>
      </c>
    </row>
    <row r="22" spans="1:90" ht="62.5" thickBot="1" x14ac:dyDescent="0.4">
      <c r="A22" s="638" t="s">
        <v>1045</v>
      </c>
      <c r="B22" s="9"/>
      <c r="C22" s="181"/>
      <c r="D22" s="822"/>
      <c r="E22" s="626">
        <v>0</v>
      </c>
      <c r="F22" s="823"/>
      <c r="G22" s="892">
        <v>0</v>
      </c>
      <c r="H22" s="893">
        <v>148.19</v>
      </c>
      <c r="I22" s="864">
        <v>500</v>
      </c>
      <c r="J22" s="827">
        <v>148.19</v>
      </c>
      <c r="K22" s="828"/>
      <c r="L22" s="865">
        <v>500</v>
      </c>
      <c r="M22" s="830">
        <v>301.38</v>
      </c>
      <c r="N22" s="831">
        <f t="shared" si="0"/>
        <v>0.60275999999999996</v>
      </c>
      <c r="O22" s="832">
        <v>301.38</v>
      </c>
      <c r="P22" s="833">
        <f t="shared" si="16"/>
        <v>0.60275999999999996</v>
      </c>
      <c r="Q22" s="834"/>
      <c r="R22" s="834" t="s">
        <v>106</v>
      </c>
      <c r="S22" s="864"/>
      <c r="T22" s="180"/>
      <c r="U22" s="866">
        <v>301.38</v>
      </c>
      <c r="V22" s="867">
        <f t="shared" si="7"/>
        <v>0.60275999999999996</v>
      </c>
      <c r="W22" s="868">
        <v>431.38</v>
      </c>
      <c r="X22" s="869">
        <f t="shared" si="8"/>
        <v>0.86275999999999997</v>
      </c>
      <c r="Y22" s="870" t="s">
        <v>122</v>
      </c>
      <c r="Z22" s="838">
        <v>1000</v>
      </c>
      <c r="AA22" s="871"/>
      <c r="AB22" s="872">
        <f t="shared" si="9"/>
        <v>0</v>
      </c>
      <c r="AC22" s="873">
        <v>240</v>
      </c>
      <c r="AD22" s="874">
        <f t="shared" si="10"/>
        <v>0.24</v>
      </c>
      <c r="AE22" s="875">
        <v>500</v>
      </c>
      <c r="AF22" s="876">
        <f t="shared" si="11"/>
        <v>740</v>
      </c>
      <c r="AG22" s="877">
        <f t="shared" si="12"/>
        <v>0.74</v>
      </c>
      <c r="AH22" s="878">
        <v>240</v>
      </c>
      <c r="AI22" s="877">
        <f t="shared" si="13"/>
        <v>0.24</v>
      </c>
      <c r="AJ22" s="879">
        <v>1000</v>
      </c>
      <c r="AK22" s="880" t="s">
        <v>138</v>
      </c>
      <c r="AL22" s="805"/>
      <c r="AM22" s="806"/>
      <c r="AN22" s="882">
        <v>1660.2</v>
      </c>
      <c r="AO22" s="883">
        <v>2461</v>
      </c>
      <c r="AP22" s="884">
        <v>2477.5</v>
      </c>
      <c r="AQ22" s="885">
        <f>AO22/9*3</f>
        <v>820.33333333333337</v>
      </c>
      <c r="AR22" s="886">
        <f t="shared" si="14"/>
        <v>3281.3333333333335</v>
      </c>
      <c r="AS22" s="887">
        <f>AP22/AJ22</f>
        <v>2.4775</v>
      </c>
      <c r="AT22" s="882"/>
      <c r="AU22" s="888">
        <v>1000</v>
      </c>
      <c r="AV22" s="889"/>
      <c r="AW22" s="851">
        <v>740.53</v>
      </c>
      <c r="AX22" s="849">
        <f>AW22/AU22</f>
        <v>0.74053000000000002</v>
      </c>
      <c r="AY22" s="850">
        <f>162.5+50</f>
        <v>212.5</v>
      </c>
      <c r="AZ22" s="850">
        <f t="shared" si="15"/>
        <v>953.03</v>
      </c>
      <c r="BA22" s="849">
        <f>AZ22/AU22</f>
        <v>0.95302999999999993</v>
      </c>
      <c r="BB22" s="839">
        <v>1000</v>
      </c>
      <c r="BC22" s="943" t="s">
        <v>234</v>
      </c>
      <c r="BD22" s="944">
        <v>355.61</v>
      </c>
      <c r="BE22" s="944">
        <v>28</v>
      </c>
      <c r="BF22" s="852">
        <f>BE22/BB22</f>
        <v>2.8000000000000001E-2</v>
      </c>
      <c r="BG22" s="853">
        <v>700</v>
      </c>
      <c r="BH22" s="851">
        <v>830</v>
      </c>
      <c r="BI22" s="852">
        <f>BH22/BG22</f>
        <v>1.1857142857142857</v>
      </c>
      <c r="BJ22" s="854">
        <f>BH22/8*4</f>
        <v>415</v>
      </c>
      <c r="BK22" s="890">
        <f t="shared" si="1"/>
        <v>1245</v>
      </c>
      <c r="BL22" s="821"/>
      <c r="BM22" s="1295">
        <v>1276</v>
      </c>
      <c r="BN22" s="1303">
        <v>1000</v>
      </c>
      <c r="BO22" s="821"/>
      <c r="BP22" s="1256">
        <f>BN22/8*4</f>
        <v>500</v>
      </c>
      <c r="BQ22" s="1308">
        <f t="shared" ref="BQ22:BQ28" si="17">BV22+BP22</f>
        <v>673.99</v>
      </c>
      <c r="BR22" s="1313">
        <v>173.99</v>
      </c>
      <c r="BS22" s="1315">
        <f t="shared" si="2"/>
        <v>0.17399000000000001</v>
      </c>
      <c r="BT22" s="1319">
        <v>1000</v>
      </c>
      <c r="BU22" s="1287"/>
      <c r="BV22" s="1326">
        <f>'Natwest Expenses'!AD132</f>
        <v>173.99</v>
      </c>
      <c r="BY22" s="634" t="s">
        <v>50</v>
      </c>
      <c r="BZ22" s="180"/>
      <c r="CA22" s="1180"/>
      <c r="CB22" s="650"/>
      <c r="CC22" s="645">
        <f>CC24-CC4-CC21</f>
        <v>41172.977919999976</v>
      </c>
      <c r="CD22" s="180"/>
      <c r="CF22" s="24" t="s">
        <v>51</v>
      </c>
      <c r="CG22" s="7"/>
      <c r="CH22" s="2"/>
      <c r="CI22" s="73"/>
      <c r="CJ22" s="7"/>
      <c r="CK22" s="25">
        <f>CK31</f>
        <v>495992.97999999992</v>
      </c>
      <c r="CL22" s="324"/>
    </row>
    <row r="23" spans="1:90" ht="62.5" thickTop="1" x14ac:dyDescent="0.35">
      <c r="A23" s="180" t="s">
        <v>1025</v>
      </c>
      <c r="B23" s="9"/>
      <c r="C23" s="181"/>
      <c r="D23" s="822"/>
      <c r="E23" s="626"/>
      <c r="F23" s="823"/>
      <c r="G23" s="892"/>
      <c r="H23" s="893"/>
      <c r="I23" s="864"/>
      <c r="J23" s="827"/>
      <c r="K23" s="828"/>
      <c r="L23" s="865"/>
      <c r="M23" s="830"/>
      <c r="N23" s="831"/>
      <c r="O23" s="832"/>
      <c r="P23" s="833"/>
      <c r="Q23" s="834"/>
      <c r="R23" s="834"/>
      <c r="S23" s="864"/>
      <c r="T23" s="180"/>
      <c r="U23" s="866"/>
      <c r="V23" s="867"/>
      <c r="W23" s="868"/>
      <c r="X23" s="869"/>
      <c r="Y23" s="870"/>
      <c r="Z23" s="838"/>
      <c r="AA23" s="871"/>
      <c r="AB23" s="872"/>
      <c r="AC23" s="873"/>
      <c r="AD23" s="874"/>
      <c r="AE23" s="875"/>
      <c r="AF23" s="876"/>
      <c r="AG23" s="877"/>
      <c r="AH23" s="878"/>
      <c r="AI23" s="877"/>
      <c r="AJ23" s="879"/>
      <c r="AK23" s="880"/>
      <c r="AL23" s="805"/>
      <c r="AM23" s="806"/>
      <c r="AN23" s="882"/>
      <c r="AO23" s="883"/>
      <c r="AP23" s="884"/>
      <c r="AQ23" s="885"/>
      <c r="AR23" s="886"/>
      <c r="AS23" s="887"/>
      <c r="AT23" s="882"/>
      <c r="AU23" s="888"/>
      <c r="AV23" s="889"/>
      <c r="AW23" s="851"/>
      <c r="AX23" s="849"/>
      <c r="AY23" s="850"/>
      <c r="AZ23" s="850"/>
      <c r="BA23" s="849"/>
      <c r="BB23" s="839"/>
      <c r="BC23" s="943"/>
      <c r="BD23" s="944"/>
      <c r="BE23" s="944"/>
      <c r="BF23" s="852"/>
      <c r="BG23" s="853"/>
      <c r="BH23" s="851"/>
      <c r="BI23" s="852"/>
      <c r="BJ23" s="854"/>
      <c r="BK23" s="890"/>
      <c r="BL23" s="821"/>
      <c r="BM23" s="1296"/>
      <c r="BN23" s="1303">
        <v>250</v>
      </c>
      <c r="BO23" s="821" t="s">
        <v>380</v>
      </c>
      <c r="BP23" s="1256">
        <v>0</v>
      </c>
      <c r="BQ23" s="1308">
        <f t="shared" si="17"/>
        <v>0</v>
      </c>
      <c r="BR23" s="1313">
        <v>0</v>
      </c>
      <c r="BS23" s="1315">
        <f t="shared" si="2"/>
        <v>0</v>
      </c>
      <c r="BT23" s="1322">
        <v>754</v>
      </c>
      <c r="BU23" s="1287" t="s">
        <v>1070</v>
      </c>
      <c r="BV23" s="1326">
        <v>0</v>
      </c>
      <c r="BY23" s="626"/>
      <c r="BZ23" s="180"/>
      <c r="CA23" s="1180"/>
      <c r="CB23" s="650"/>
      <c r="CC23" s="645"/>
      <c r="CD23" s="180"/>
      <c r="CF23" s="24"/>
      <c r="CG23" s="7"/>
      <c r="CH23" s="2"/>
      <c r="CI23" s="73"/>
      <c r="CJ23" s="7"/>
      <c r="CK23" s="623"/>
      <c r="CL23" s="324"/>
    </row>
    <row r="24" spans="1:90" ht="16" thickBot="1" x14ac:dyDescent="0.4">
      <c r="A24" s="180" t="s">
        <v>256</v>
      </c>
      <c r="B24" s="9"/>
      <c r="C24" s="181"/>
      <c r="D24" s="822"/>
      <c r="E24" s="626"/>
      <c r="F24" s="823"/>
      <c r="G24" s="892"/>
      <c r="H24" s="893"/>
      <c r="I24" s="864"/>
      <c r="J24" s="827"/>
      <c r="K24" s="828"/>
      <c r="L24" s="865"/>
      <c r="M24" s="830"/>
      <c r="N24" s="831"/>
      <c r="O24" s="832"/>
      <c r="P24" s="833"/>
      <c r="Q24" s="834"/>
      <c r="R24" s="834"/>
      <c r="S24" s="864"/>
      <c r="T24" s="180"/>
      <c r="U24" s="866"/>
      <c r="V24" s="867"/>
      <c r="W24" s="868"/>
      <c r="X24" s="869"/>
      <c r="Y24" s="870"/>
      <c r="Z24" s="838"/>
      <c r="AA24" s="871"/>
      <c r="AB24" s="872"/>
      <c r="AC24" s="873"/>
      <c r="AD24" s="874"/>
      <c r="AE24" s="875"/>
      <c r="AF24" s="876"/>
      <c r="AG24" s="877"/>
      <c r="AH24" s="878"/>
      <c r="AI24" s="877"/>
      <c r="AJ24" s="879"/>
      <c r="AK24" s="880"/>
      <c r="AL24" s="805"/>
      <c r="AM24" s="806"/>
      <c r="AN24" s="882"/>
      <c r="AO24" s="883"/>
      <c r="AP24" s="884"/>
      <c r="AQ24" s="885"/>
      <c r="AR24" s="886"/>
      <c r="AS24" s="887"/>
      <c r="AT24" s="882"/>
      <c r="AU24" s="888"/>
      <c r="AV24" s="889"/>
      <c r="AW24" s="851"/>
      <c r="AX24" s="849"/>
      <c r="AY24" s="850"/>
      <c r="AZ24" s="850"/>
      <c r="BA24" s="849"/>
      <c r="BB24" s="839">
        <v>200</v>
      </c>
      <c r="BC24" s="943"/>
      <c r="BD24" s="944"/>
      <c r="BE24" s="944">
        <v>93.95</v>
      </c>
      <c r="BF24" s="852">
        <f>BE24/BB24</f>
        <v>0.46975</v>
      </c>
      <c r="BG24" s="853">
        <v>100</v>
      </c>
      <c r="BH24" s="851">
        <v>-2.87</v>
      </c>
      <c r="BI24" s="852">
        <f>BH24/BG24</f>
        <v>-2.87E-2</v>
      </c>
      <c r="BJ24" s="854">
        <v>50</v>
      </c>
      <c r="BK24" s="890">
        <f t="shared" si="1"/>
        <v>47.13</v>
      </c>
      <c r="BL24" s="821"/>
      <c r="BM24" s="1295">
        <v>-2.87</v>
      </c>
      <c r="BN24" s="1303">
        <v>100</v>
      </c>
      <c r="BO24" s="821"/>
      <c r="BP24" s="1256">
        <v>0</v>
      </c>
      <c r="BQ24" s="1308">
        <f t="shared" si="17"/>
        <v>103.25</v>
      </c>
      <c r="BR24" s="1313">
        <v>103.25</v>
      </c>
      <c r="BS24" s="1315">
        <f t="shared" si="2"/>
        <v>1.0325</v>
      </c>
      <c r="BT24" s="1319">
        <v>125</v>
      </c>
      <c r="BV24" s="1326">
        <f>'Natwest Expenses'!AM132</f>
        <v>103.25</v>
      </c>
      <c r="BY24" s="634" t="s">
        <v>51</v>
      </c>
      <c r="BZ24" s="180"/>
      <c r="CA24" s="1180"/>
      <c r="CB24" s="652"/>
      <c r="CC24" s="635">
        <f>CC33</f>
        <v>573394.23791999999</v>
      </c>
      <c r="CD24" s="180"/>
      <c r="CF24" s="24"/>
      <c r="CG24" s="7"/>
      <c r="CH24" s="2"/>
      <c r="CI24" s="73"/>
      <c r="CJ24" s="7"/>
      <c r="CK24" s="19"/>
      <c r="CL24" s="322"/>
    </row>
    <row r="25" spans="1:90" ht="15.75" customHeight="1" thickTop="1" x14ac:dyDescent="0.35">
      <c r="A25" s="895" t="s">
        <v>18</v>
      </c>
      <c r="B25" s="342">
        <v>1500</v>
      </c>
      <c r="C25" s="343"/>
      <c r="D25" s="896">
        <f t="shared" si="4"/>
        <v>0</v>
      </c>
      <c r="E25" s="897">
        <v>769.08</v>
      </c>
      <c r="F25" s="898">
        <f t="shared" si="5"/>
        <v>0.51272000000000006</v>
      </c>
      <c r="G25" s="899">
        <f>E25/10*12</f>
        <v>922.89599999999996</v>
      </c>
      <c r="H25" s="900">
        <v>860.78</v>
      </c>
      <c r="I25" s="901">
        <v>1500</v>
      </c>
      <c r="J25" s="902">
        <v>860.78</v>
      </c>
      <c r="K25" s="903">
        <f t="shared" si="6"/>
        <v>0.57385333333333333</v>
      </c>
      <c r="L25" s="865">
        <v>1500</v>
      </c>
      <c r="M25" s="904">
        <v>130</v>
      </c>
      <c r="N25" s="905">
        <f t="shared" si="0"/>
        <v>8.666666666666667E-2</v>
      </c>
      <c r="O25" s="906">
        <v>130</v>
      </c>
      <c r="P25" s="907">
        <f t="shared" si="16"/>
        <v>8.666666666666667E-2</v>
      </c>
      <c r="Q25" s="908"/>
      <c r="R25" s="908"/>
      <c r="S25" s="901"/>
      <c r="T25" s="895" t="s">
        <v>19</v>
      </c>
      <c r="U25" s="909">
        <v>130</v>
      </c>
      <c r="V25" s="910">
        <f t="shared" si="7"/>
        <v>8.666666666666667E-2</v>
      </c>
      <c r="W25" s="911">
        <v>0</v>
      </c>
      <c r="X25" s="912">
        <f t="shared" si="8"/>
        <v>0</v>
      </c>
      <c r="Y25" s="913"/>
      <c r="Z25" s="914">
        <v>500</v>
      </c>
      <c r="AA25" s="915"/>
      <c r="AB25" s="916">
        <f t="shared" si="9"/>
        <v>0</v>
      </c>
      <c r="AC25" s="917"/>
      <c r="AD25" s="918">
        <f t="shared" si="10"/>
        <v>0</v>
      </c>
      <c r="AE25" s="919"/>
      <c r="AF25" s="920">
        <f t="shared" si="11"/>
        <v>0</v>
      </c>
      <c r="AG25" s="921">
        <f t="shared" si="12"/>
        <v>0</v>
      </c>
      <c r="AH25" s="922">
        <v>83.06</v>
      </c>
      <c r="AI25" s="921">
        <f t="shared" si="13"/>
        <v>0.16612000000000002</v>
      </c>
      <c r="AJ25" s="923"/>
      <c r="AK25" s="924"/>
      <c r="AL25" s="925"/>
      <c r="AM25" s="926"/>
      <c r="AN25" s="927"/>
      <c r="AO25" s="928" t="e">
        <f>'Natwest Expenses'!#REF!</f>
        <v>#REF!</v>
      </c>
      <c r="AP25" s="929"/>
      <c r="AQ25" s="930">
        <v>0</v>
      </c>
      <c r="AR25" s="931" t="e">
        <f t="shared" si="14"/>
        <v>#REF!</v>
      </c>
      <c r="AS25" s="932"/>
      <c r="AT25" s="927"/>
      <c r="AU25" s="923">
        <v>0</v>
      </c>
      <c r="AV25" s="933"/>
      <c r="AW25" s="934"/>
      <c r="AX25" s="935"/>
      <c r="AY25" s="935"/>
      <c r="AZ25" s="935"/>
      <c r="BA25" s="935"/>
      <c r="BB25" s="935"/>
      <c r="BC25" s="935"/>
      <c r="BD25" s="935"/>
      <c r="BE25" s="935"/>
      <c r="BF25" s="935"/>
      <c r="BG25" s="935"/>
      <c r="BH25" s="936"/>
      <c r="BI25" s="937"/>
      <c r="BJ25" s="938"/>
      <c r="BK25" s="938"/>
      <c r="BL25" s="938"/>
      <c r="BM25" s="1298"/>
      <c r="BN25" s="1304"/>
      <c r="BO25" s="821"/>
      <c r="BP25" s="1258">
        <v>0</v>
      </c>
      <c r="BQ25" s="1309">
        <f t="shared" si="17"/>
        <v>0</v>
      </c>
      <c r="BR25" s="1314"/>
      <c r="BS25" s="1314"/>
      <c r="BT25" s="1321"/>
      <c r="BU25" s="1288"/>
      <c r="BV25" s="1328">
        <v>0</v>
      </c>
      <c r="BY25" s="634"/>
      <c r="BZ25" s="180"/>
      <c r="CA25" s="1180"/>
      <c r="CB25" s="652"/>
      <c r="CC25" s="625"/>
      <c r="CD25" s="636"/>
      <c r="CF25" s="250" t="s">
        <v>236</v>
      </c>
      <c r="CG25" s="251"/>
      <c r="CH25" s="251"/>
      <c r="CI25" s="254"/>
      <c r="CJ25" s="251"/>
      <c r="CK25" s="244"/>
      <c r="CL25" s="322" t="s">
        <v>237</v>
      </c>
    </row>
    <row r="26" spans="1:90" ht="15.75" customHeight="1" x14ac:dyDescent="0.35">
      <c r="A26" s="895" t="s">
        <v>259</v>
      </c>
      <c r="B26" s="342"/>
      <c r="C26" s="343"/>
      <c r="D26" s="896"/>
      <c r="E26" s="897"/>
      <c r="F26" s="898"/>
      <c r="G26" s="899"/>
      <c r="H26" s="900"/>
      <c r="I26" s="901">
        <v>100</v>
      </c>
      <c r="J26" s="902"/>
      <c r="K26" s="903"/>
      <c r="L26" s="865">
        <v>100</v>
      </c>
      <c r="M26" s="904"/>
      <c r="N26" s="905">
        <f t="shared" si="0"/>
        <v>0</v>
      </c>
      <c r="O26" s="906">
        <v>0</v>
      </c>
      <c r="P26" s="907">
        <f t="shared" si="16"/>
        <v>0</v>
      </c>
      <c r="Q26" s="908"/>
      <c r="R26" s="908"/>
      <c r="S26" s="901"/>
      <c r="T26" s="895"/>
      <c r="U26" s="909"/>
      <c r="V26" s="910">
        <f t="shared" si="7"/>
        <v>0</v>
      </c>
      <c r="W26" s="911">
        <v>0</v>
      </c>
      <c r="X26" s="912">
        <f t="shared" si="8"/>
        <v>0</v>
      </c>
      <c r="Y26" s="913"/>
      <c r="Z26" s="914">
        <v>100</v>
      </c>
      <c r="AA26" s="915"/>
      <c r="AB26" s="916">
        <f t="shared" si="9"/>
        <v>0</v>
      </c>
      <c r="AC26" s="917"/>
      <c r="AD26" s="918">
        <f t="shared" si="10"/>
        <v>0</v>
      </c>
      <c r="AE26" s="919"/>
      <c r="AF26" s="920">
        <f t="shared" si="11"/>
        <v>0</v>
      </c>
      <c r="AG26" s="921">
        <f t="shared" si="12"/>
        <v>0</v>
      </c>
      <c r="AH26" s="922">
        <v>0</v>
      </c>
      <c r="AI26" s="921">
        <f t="shared" si="13"/>
        <v>0</v>
      </c>
      <c r="AJ26" s="923"/>
      <c r="AK26" s="924"/>
      <c r="AL26" s="925">
        <v>100</v>
      </c>
      <c r="AM26" s="926">
        <v>0</v>
      </c>
      <c r="AN26" s="927"/>
      <c r="AO26" s="928"/>
      <c r="AP26" s="929"/>
      <c r="AQ26" s="930"/>
      <c r="AR26" s="931">
        <f t="shared" si="14"/>
        <v>0</v>
      </c>
      <c r="AS26" s="932"/>
      <c r="AT26" s="927"/>
      <c r="AU26" s="923"/>
      <c r="AV26" s="933"/>
      <c r="AW26" s="934"/>
      <c r="AX26" s="935"/>
      <c r="AY26" s="935"/>
      <c r="AZ26" s="935"/>
      <c r="BA26" s="935"/>
      <c r="BB26" s="935"/>
      <c r="BC26" s="935"/>
      <c r="BD26" s="935"/>
      <c r="BE26" s="935" t="s">
        <v>1</v>
      </c>
      <c r="BF26" s="935"/>
      <c r="BG26" s="935"/>
      <c r="BH26" s="936"/>
      <c r="BI26" s="937"/>
      <c r="BJ26" s="938"/>
      <c r="BK26" s="938"/>
      <c r="BL26" s="938"/>
      <c r="BM26" s="1298"/>
      <c r="BN26" s="1304"/>
      <c r="BO26" s="821"/>
      <c r="BP26" s="1258">
        <v>0</v>
      </c>
      <c r="BQ26" s="1309">
        <f t="shared" si="17"/>
        <v>0</v>
      </c>
      <c r="BR26" s="1314"/>
      <c r="BS26" s="1314"/>
      <c r="BT26" s="1321"/>
      <c r="BU26" s="1288"/>
      <c r="BV26" s="1328">
        <v>0</v>
      </c>
      <c r="BY26" s="626" t="s">
        <v>382</v>
      </c>
      <c r="BZ26" s="180"/>
      <c r="CA26" s="1180"/>
      <c r="CB26" s="650"/>
      <c r="CC26" s="637">
        <v>67596</v>
      </c>
      <c r="CD26" s="1264" t="s">
        <v>1071</v>
      </c>
      <c r="CF26" s="20" t="s">
        <v>126</v>
      </c>
      <c r="CG26" s="2"/>
      <c r="CH26" s="2"/>
      <c r="CI26" s="73"/>
      <c r="CJ26" s="2"/>
      <c r="CK26" s="72"/>
      <c r="CL26" s="325" t="s">
        <v>237</v>
      </c>
    </row>
    <row r="27" spans="1:90" x14ac:dyDescent="0.35">
      <c r="A27" s="1098" t="s">
        <v>20</v>
      </c>
      <c r="B27" s="1099">
        <v>1500</v>
      </c>
      <c r="C27" s="1100">
        <v>995.06</v>
      </c>
      <c r="D27" s="1101">
        <f t="shared" si="4"/>
        <v>0.66337333333333326</v>
      </c>
      <c r="E27" s="1102">
        <v>1057.8399999999999</v>
      </c>
      <c r="F27" s="1103">
        <f t="shared" si="5"/>
        <v>0.70522666666666656</v>
      </c>
      <c r="G27" s="1104">
        <f>E27+200</f>
        <v>1257.8399999999999</v>
      </c>
      <c r="H27" s="1105">
        <v>1057.8399999999999</v>
      </c>
      <c r="I27" s="1106">
        <v>1000</v>
      </c>
      <c r="J27" s="1107">
        <v>1090.1400000000001</v>
      </c>
      <c r="K27" s="1108">
        <f t="shared" si="6"/>
        <v>1.0901400000000001</v>
      </c>
      <c r="L27" s="1109">
        <v>1000</v>
      </c>
      <c r="M27" s="1110">
        <v>85.37</v>
      </c>
      <c r="N27" s="1111">
        <f t="shared" si="0"/>
        <v>8.5370000000000001E-2</v>
      </c>
      <c r="O27" s="1112">
        <v>292.56</v>
      </c>
      <c r="P27" s="1113">
        <f t="shared" si="16"/>
        <v>0.29255999999999999</v>
      </c>
      <c r="Q27" s="1114"/>
      <c r="R27" s="1114"/>
      <c r="S27" s="1106"/>
      <c r="T27" s="1098" t="s">
        <v>21</v>
      </c>
      <c r="U27" s="1115">
        <v>645.54999999999995</v>
      </c>
      <c r="V27" s="1116">
        <f t="shared" si="7"/>
        <v>0.64554999999999996</v>
      </c>
      <c r="W27" s="1117">
        <v>772.39</v>
      </c>
      <c r="X27" s="1118">
        <f t="shared" si="8"/>
        <v>0.77239000000000002</v>
      </c>
      <c r="Y27" s="1119">
        <v>300</v>
      </c>
      <c r="Z27" s="1120">
        <v>1000</v>
      </c>
      <c r="AA27" s="1121">
        <v>117.79</v>
      </c>
      <c r="AB27" s="1122">
        <f t="shared" si="9"/>
        <v>0.11779000000000001</v>
      </c>
      <c r="AC27" s="1123">
        <v>230.27</v>
      </c>
      <c r="AD27" s="1124">
        <f t="shared" si="10"/>
        <v>0.23027</v>
      </c>
      <c r="AE27" s="1125">
        <v>220</v>
      </c>
      <c r="AF27" s="1126">
        <f t="shared" si="11"/>
        <v>450.27</v>
      </c>
      <c r="AG27" s="1127">
        <f t="shared" si="12"/>
        <v>0.45027</v>
      </c>
      <c r="AH27" s="1128">
        <f>383.23+90.01</f>
        <v>473.24</v>
      </c>
      <c r="AI27" s="1127">
        <f t="shared" si="13"/>
        <v>0.47323999999999999</v>
      </c>
      <c r="AJ27" s="1129">
        <v>600</v>
      </c>
      <c r="AK27" s="1130" t="s">
        <v>146</v>
      </c>
      <c r="AL27" s="1131"/>
      <c r="AM27" s="1132"/>
      <c r="AN27" s="1133">
        <v>163.77000000000001</v>
      </c>
      <c r="AO27" s="1134">
        <v>268.52999999999997</v>
      </c>
      <c r="AP27" s="1135">
        <v>394.19</v>
      </c>
      <c r="AQ27" s="1136">
        <f>AO27/9*3</f>
        <v>89.509999999999991</v>
      </c>
      <c r="AR27" s="1137">
        <f t="shared" si="14"/>
        <v>358.03999999999996</v>
      </c>
      <c r="AS27" s="1138">
        <f>AP27/AJ27</f>
        <v>0.65698333333333336</v>
      </c>
      <c r="AT27" s="1133"/>
      <c r="AU27" s="1129">
        <v>250</v>
      </c>
      <c r="AV27" s="1139"/>
      <c r="AW27" s="1140">
        <v>255.99</v>
      </c>
      <c r="AX27" s="1141">
        <f>AW27/AU27</f>
        <v>1.02396</v>
      </c>
      <c r="AY27" s="1142">
        <v>50</v>
      </c>
      <c r="AZ27" s="1142">
        <f t="shared" si="15"/>
        <v>305.99</v>
      </c>
      <c r="BA27" s="1141">
        <f>AZ27/AU27</f>
        <v>1.2239599999999999</v>
      </c>
      <c r="BB27" s="1143">
        <v>200</v>
      </c>
      <c r="BC27" s="1144"/>
      <c r="BD27" s="1140">
        <v>0</v>
      </c>
      <c r="BE27" s="1140">
        <v>0</v>
      </c>
      <c r="BF27" s="1145">
        <f>BE27/BB27</f>
        <v>0</v>
      </c>
      <c r="BG27" s="1146"/>
      <c r="BH27" s="1140">
        <v>-685.57</v>
      </c>
      <c r="BI27" s="1145">
        <v>0</v>
      </c>
      <c r="BJ27" s="1147">
        <v>0</v>
      </c>
      <c r="BK27" s="1148">
        <f t="shared" si="1"/>
        <v>-685.57</v>
      </c>
      <c r="BL27" s="1149"/>
      <c r="BM27" s="1299">
        <v>0</v>
      </c>
      <c r="BN27" s="1305">
        <v>0</v>
      </c>
      <c r="BO27" s="1149"/>
      <c r="BP27" s="1258">
        <v>0</v>
      </c>
      <c r="BQ27" s="1309">
        <f t="shared" si="17"/>
        <v>0</v>
      </c>
      <c r="BR27" s="1314"/>
      <c r="BS27" s="1314"/>
      <c r="BT27" s="1321"/>
      <c r="BU27" s="1288"/>
      <c r="BV27" s="1328">
        <v>0</v>
      </c>
      <c r="BY27" s="626" t="s">
        <v>126</v>
      </c>
      <c r="BZ27" s="180"/>
      <c r="CA27" s="1180"/>
      <c r="CB27" s="650"/>
      <c r="CC27" s="633">
        <v>450</v>
      </c>
      <c r="CD27" s="636"/>
      <c r="CF27" s="20" t="s">
        <v>125</v>
      </c>
      <c r="CG27" s="2"/>
      <c r="CH27" s="2"/>
      <c r="CI27" s="73"/>
      <c r="CJ27" s="2"/>
      <c r="CK27" s="69">
        <f>'Natwest Expenses'!K132</f>
        <v>1654.1999999999998</v>
      </c>
      <c r="CL27" s="325"/>
    </row>
    <row r="28" spans="1:90" x14ac:dyDescent="0.35">
      <c r="A28" s="1098" t="s">
        <v>22</v>
      </c>
      <c r="B28" s="1099">
        <v>200</v>
      </c>
      <c r="C28" s="1100"/>
      <c r="D28" s="1101">
        <f t="shared" si="4"/>
        <v>0</v>
      </c>
      <c r="E28" s="1102">
        <v>57.72</v>
      </c>
      <c r="F28" s="1103">
        <f t="shared" si="5"/>
        <v>0.28859999999999997</v>
      </c>
      <c r="G28" s="1104">
        <f>E28/10*12</f>
        <v>69.26400000000001</v>
      </c>
      <c r="H28" s="1105">
        <v>89.56</v>
      </c>
      <c r="I28" s="1106">
        <v>150</v>
      </c>
      <c r="J28" s="1107">
        <v>89.56</v>
      </c>
      <c r="K28" s="1108">
        <f t="shared" si="6"/>
        <v>0.59706666666666663</v>
      </c>
      <c r="L28" s="1109">
        <v>150</v>
      </c>
      <c r="M28" s="1110"/>
      <c r="N28" s="1111">
        <f t="shared" si="0"/>
        <v>0</v>
      </c>
      <c r="O28" s="1112">
        <v>53.43</v>
      </c>
      <c r="P28" s="1113">
        <f t="shared" si="16"/>
        <v>0.35620000000000002</v>
      </c>
      <c r="Q28" s="1114"/>
      <c r="R28" s="1114"/>
      <c r="S28" s="1106"/>
      <c r="T28" s="1098"/>
      <c r="U28" s="1115">
        <v>53.43</v>
      </c>
      <c r="V28" s="1116">
        <f t="shared" si="7"/>
        <v>0.35620000000000002</v>
      </c>
      <c r="W28" s="1117">
        <v>84.62</v>
      </c>
      <c r="X28" s="1118">
        <f t="shared" si="8"/>
        <v>0.56413333333333338</v>
      </c>
      <c r="Y28" s="1119">
        <v>53</v>
      </c>
      <c r="Z28" s="1120">
        <v>150</v>
      </c>
      <c r="AA28" s="1121"/>
      <c r="AB28" s="1122">
        <f t="shared" si="9"/>
        <v>0</v>
      </c>
      <c r="AC28" s="1123">
        <v>36.97</v>
      </c>
      <c r="AD28" s="1124">
        <f t="shared" si="10"/>
        <v>0.24646666666666667</v>
      </c>
      <c r="AE28" s="1125">
        <v>73</v>
      </c>
      <c r="AF28" s="1126">
        <f t="shared" si="11"/>
        <v>109.97</v>
      </c>
      <c r="AG28" s="1127">
        <f t="shared" si="12"/>
        <v>0.7331333333333333</v>
      </c>
      <c r="AH28" s="1128">
        <v>68.45</v>
      </c>
      <c r="AI28" s="1127">
        <f t="shared" si="13"/>
        <v>0.45633333333333337</v>
      </c>
      <c r="AJ28" s="1129">
        <v>100</v>
      </c>
      <c r="AK28" s="1130"/>
      <c r="AL28" s="1131"/>
      <c r="AM28" s="1132"/>
      <c r="AN28" s="1133">
        <v>6.59</v>
      </c>
      <c r="AO28" s="1134">
        <v>6.59</v>
      </c>
      <c r="AP28" s="1135">
        <v>6.59</v>
      </c>
      <c r="AQ28" s="1136">
        <v>30</v>
      </c>
      <c r="AR28" s="1137">
        <f t="shared" si="14"/>
        <v>36.590000000000003</v>
      </c>
      <c r="AS28" s="1138">
        <f>AP28/AJ28</f>
        <v>6.59E-2</v>
      </c>
      <c r="AT28" s="1133"/>
      <c r="AU28" s="1129">
        <v>50</v>
      </c>
      <c r="AV28" s="1139"/>
      <c r="AW28" s="1140">
        <v>89.88</v>
      </c>
      <c r="AX28" s="1141">
        <f>AW28/AU28</f>
        <v>1.7975999999999999</v>
      </c>
      <c r="AY28" s="1142">
        <v>0</v>
      </c>
      <c r="AZ28" s="1142">
        <f t="shared" si="15"/>
        <v>89.88</v>
      </c>
      <c r="BA28" s="1141">
        <f>AZ28/AU28</f>
        <v>1.7975999999999999</v>
      </c>
      <c r="BB28" s="1143">
        <v>0</v>
      </c>
      <c r="BC28" s="1144"/>
      <c r="BD28" s="1140">
        <v>0</v>
      </c>
      <c r="BE28" s="1140">
        <v>0</v>
      </c>
      <c r="BF28" s="1145"/>
      <c r="BG28" s="1146"/>
      <c r="BH28" s="1140">
        <v>43.66</v>
      </c>
      <c r="BI28" s="1145">
        <v>0</v>
      </c>
      <c r="BJ28" s="1147">
        <v>0</v>
      </c>
      <c r="BK28" s="1148">
        <f t="shared" si="1"/>
        <v>43.66</v>
      </c>
      <c r="BL28" s="1149"/>
      <c r="BM28" s="1299">
        <v>43.66</v>
      </c>
      <c r="BN28" s="1305">
        <v>0</v>
      </c>
      <c r="BO28" s="1149"/>
      <c r="BP28" s="1258">
        <v>0</v>
      </c>
      <c r="BQ28" s="1309">
        <f t="shared" si="17"/>
        <v>0</v>
      </c>
      <c r="BR28" s="1314"/>
      <c r="BS28" s="1314"/>
      <c r="BT28" s="1321"/>
      <c r="BU28" s="1288"/>
      <c r="BV28" s="1328">
        <v>0</v>
      </c>
      <c r="BY28" s="626" t="s">
        <v>125</v>
      </c>
      <c r="BZ28" s="180"/>
      <c r="CA28" s="1180"/>
      <c r="CB28" s="650"/>
      <c r="CC28" s="633">
        <f>'Natwest Expenses'!K132</f>
        <v>1654.1999999999998</v>
      </c>
      <c r="CD28" s="180" t="s">
        <v>1038</v>
      </c>
      <c r="CF28" s="20" t="s">
        <v>239</v>
      </c>
      <c r="CG28" s="2"/>
      <c r="CH28" s="2"/>
      <c r="CI28" s="73"/>
      <c r="CJ28" s="2"/>
      <c r="CK28" s="72">
        <f>'Bank Rec'!F41-6112.4</f>
        <v>494338.77999999991</v>
      </c>
      <c r="CL28" s="320" t="s">
        <v>238</v>
      </c>
    </row>
    <row r="29" spans="1:90" x14ac:dyDescent="0.35">
      <c r="A29" s="1098"/>
      <c r="B29" s="1099"/>
      <c r="C29" s="1100"/>
      <c r="D29" s="1101"/>
      <c r="E29" s="1102"/>
      <c r="F29" s="1103"/>
      <c r="G29" s="1104"/>
      <c r="H29" s="1105"/>
      <c r="I29" s="1106"/>
      <c r="J29" s="1107"/>
      <c r="K29" s="1108"/>
      <c r="L29" s="1109"/>
      <c r="M29" s="1110"/>
      <c r="N29" s="1111"/>
      <c r="O29" s="1112"/>
      <c r="P29" s="1113"/>
      <c r="Q29" s="1114"/>
      <c r="R29" s="1114"/>
      <c r="S29" s="1106"/>
      <c r="T29" s="1098"/>
      <c r="U29" s="1115"/>
      <c r="V29" s="1116"/>
      <c r="W29" s="1117"/>
      <c r="X29" s="1118"/>
      <c r="Y29" s="1119"/>
      <c r="Z29" s="1120"/>
      <c r="AA29" s="1121"/>
      <c r="AB29" s="1122"/>
      <c r="AC29" s="1123"/>
      <c r="AD29" s="1124"/>
      <c r="AE29" s="1125"/>
      <c r="AF29" s="1126"/>
      <c r="AG29" s="1127"/>
      <c r="AH29" s="1128"/>
      <c r="AI29" s="1127"/>
      <c r="AJ29" s="1129"/>
      <c r="AK29" s="1130"/>
      <c r="AL29" s="1131"/>
      <c r="AM29" s="1132"/>
      <c r="AN29" s="1133"/>
      <c r="AO29" s="1134"/>
      <c r="AP29" s="1135"/>
      <c r="AQ29" s="1136"/>
      <c r="AR29" s="1137"/>
      <c r="AS29" s="1138"/>
      <c r="AT29" s="1133"/>
      <c r="AU29" s="1129"/>
      <c r="AV29" s="1139"/>
      <c r="AW29" s="1140"/>
      <c r="AX29" s="1141"/>
      <c r="AY29" s="1142"/>
      <c r="AZ29" s="1142"/>
      <c r="BA29" s="1141"/>
      <c r="BB29" s="1143"/>
      <c r="BC29" s="1144"/>
      <c r="BD29" s="1140"/>
      <c r="BE29" s="1140"/>
      <c r="BF29" s="1145"/>
      <c r="BG29" s="1146"/>
      <c r="BH29" s="1140"/>
      <c r="BI29" s="1145"/>
      <c r="BJ29" s="1147"/>
      <c r="BK29" s="1148"/>
      <c r="BL29" s="1149"/>
      <c r="BM29" s="1299"/>
      <c r="BN29" s="1305"/>
      <c r="BO29" s="1149"/>
      <c r="BP29" s="1258"/>
      <c r="BQ29" s="1309"/>
      <c r="BR29" s="1314"/>
      <c r="BS29" s="1314"/>
      <c r="BT29" s="1321"/>
      <c r="BU29" s="1288"/>
      <c r="BV29" s="1328"/>
      <c r="BY29" s="626" t="s">
        <v>1040</v>
      </c>
      <c r="BZ29" s="180"/>
      <c r="CA29" s="1180"/>
      <c r="CB29" s="650"/>
      <c r="CC29" s="633">
        <f>350000-3539</f>
        <v>346461</v>
      </c>
      <c r="CD29" s="180"/>
      <c r="CF29" s="20"/>
      <c r="CG29" s="2"/>
      <c r="CH29" s="2"/>
      <c r="CI29" s="73"/>
      <c r="CJ29" s="2"/>
      <c r="CK29" s="72"/>
      <c r="CL29" s="320"/>
    </row>
    <row r="30" spans="1:90" x14ac:dyDescent="0.35">
      <c r="A30" s="1098"/>
      <c r="B30" s="1099"/>
      <c r="C30" s="1100"/>
      <c r="D30" s="1101"/>
      <c r="E30" s="1102"/>
      <c r="F30" s="1103"/>
      <c r="G30" s="1104"/>
      <c r="H30" s="1105"/>
      <c r="I30" s="1106"/>
      <c r="J30" s="1107"/>
      <c r="K30" s="1108"/>
      <c r="L30" s="1109"/>
      <c r="M30" s="1110"/>
      <c r="N30" s="1111"/>
      <c r="O30" s="1112"/>
      <c r="P30" s="1113"/>
      <c r="Q30" s="1114"/>
      <c r="R30" s="1114"/>
      <c r="S30" s="1106"/>
      <c r="T30" s="1098"/>
      <c r="U30" s="1115"/>
      <c r="V30" s="1116"/>
      <c r="W30" s="1117"/>
      <c r="X30" s="1118"/>
      <c r="Y30" s="1119"/>
      <c r="Z30" s="1120"/>
      <c r="AA30" s="1121"/>
      <c r="AB30" s="1122"/>
      <c r="AC30" s="1123"/>
      <c r="AD30" s="1124"/>
      <c r="AE30" s="1125"/>
      <c r="AF30" s="1126"/>
      <c r="AG30" s="1127"/>
      <c r="AH30" s="1128"/>
      <c r="AI30" s="1127"/>
      <c r="AJ30" s="1129"/>
      <c r="AK30" s="1130"/>
      <c r="AL30" s="1131"/>
      <c r="AM30" s="1132"/>
      <c r="AN30" s="1133"/>
      <c r="AO30" s="1134"/>
      <c r="AP30" s="1135"/>
      <c r="AQ30" s="1136"/>
      <c r="AR30" s="1137"/>
      <c r="AS30" s="1138"/>
      <c r="AT30" s="1133"/>
      <c r="AU30" s="1129"/>
      <c r="AV30" s="1139"/>
      <c r="AW30" s="1140"/>
      <c r="AX30" s="1141"/>
      <c r="AY30" s="1142"/>
      <c r="AZ30" s="1142"/>
      <c r="BA30" s="1141"/>
      <c r="BB30" s="1143"/>
      <c r="BC30" s="1144"/>
      <c r="BD30" s="1140"/>
      <c r="BE30" s="1140"/>
      <c r="BF30" s="1145"/>
      <c r="BG30" s="1146"/>
      <c r="BH30" s="1140"/>
      <c r="BI30" s="1145"/>
      <c r="BJ30" s="1147"/>
      <c r="BK30" s="1148"/>
      <c r="BL30" s="1149"/>
      <c r="BM30" s="1299"/>
      <c r="BN30" s="1305"/>
      <c r="BO30" s="1149"/>
      <c r="BP30" s="1258"/>
      <c r="BQ30" s="1309"/>
      <c r="BR30" s="1314"/>
      <c r="BS30" s="1314"/>
      <c r="BT30" s="1321"/>
      <c r="BU30" s="1288"/>
      <c r="BV30" s="1328"/>
      <c r="BY30" s="626" t="s">
        <v>1048</v>
      </c>
      <c r="BZ30" s="180"/>
      <c r="CA30" s="1180"/>
      <c r="CB30" s="650"/>
      <c r="CC30" s="633">
        <v>10192.36</v>
      </c>
      <c r="CD30" s="180" t="s">
        <v>1049</v>
      </c>
      <c r="CF30" s="20"/>
      <c r="CG30" s="2"/>
      <c r="CH30" s="2"/>
      <c r="CI30" s="73"/>
      <c r="CJ30" s="2"/>
      <c r="CK30" s="72"/>
      <c r="CL30" s="320"/>
    </row>
    <row r="31" spans="1:90" ht="47" thickBot="1" x14ac:dyDescent="0.4">
      <c r="A31" s="1098" t="s">
        <v>23</v>
      </c>
      <c r="B31" s="1099">
        <v>150</v>
      </c>
      <c r="C31" s="1100"/>
      <c r="D31" s="1101">
        <f t="shared" si="4"/>
        <v>0</v>
      </c>
      <c r="E31" s="1102">
        <v>91.7</v>
      </c>
      <c r="F31" s="1103">
        <f t="shared" si="5"/>
        <v>0.6113333333333334</v>
      </c>
      <c r="G31" s="1104">
        <f>E31</f>
        <v>91.7</v>
      </c>
      <c r="H31" s="1105"/>
      <c r="I31" s="1106">
        <v>150</v>
      </c>
      <c r="J31" s="1107"/>
      <c r="K31" s="1108">
        <f t="shared" si="6"/>
        <v>0</v>
      </c>
      <c r="L31" s="1109">
        <v>150</v>
      </c>
      <c r="M31" s="1110"/>
      <c r="N31" s="1111">
        <f t="shared" si="0"/>
        <v>0</v>
      </c>
      <c r="O31" s="1112">
        <v>0</v>
      </c>
      <c r="P31" s="1113">
        <f t="shared" si="16"/>
        <v>0</v>
      </c>
      <c r="Q31" s="1114"/>
      <c r="R31" s="1114"/>
      <c r="S31" s="1106"/>
      <c r="T31" s="1098"/>
      <c r="U31" s="1115"/>
      <c r="V31" s="1116">
        <f t="shared" si="7"/>
        <v>0</v>
      </c>
      <c r="W31" s="1117">
        <v>125.35</v>
      </c>
      <c r="X31" s="1118">
        <f t="shared" si="8"/>
        <v>0.83566666666666667</v>
      </c>
      <c r="Y31" s="1119">
        <v>110</v>
      </c>
      <c r="Z31" s="1120">
        <v>115.5</v>
      </c>
      <c r="AA31" s="1121"/>
      <c r="AB31" s="1122">
        <f t="shared" si="9"/>
        <v>0</v>
      </c>
      <c r="AC31" s="1123"/>
      <c r="AD31" s="1124">
        <f t="shared" si="10"/>
        <v>0</v>
      </c>
      <c r="AE31" s="1125">
        <v>115.5</v>
      </c>
      <c r="AF31" s="1126">
        <f t="shared" si="11"/>
        <v>115.5</v>
      </c>
      <c r="AG31" s="1127">
        <f t="shared" si="12"/>
        <v>1</v>
      </c>
      <c r="AH31" s="1128"/>
      <c r="AI31" s="1127">
        <f t="shared" si="13"/>
        <v>0</v>
      </c>
      <c r="AJ31" s="1129">
        <v>150</v>
      </c>
      <c r="AK31" s="1130" t="s">
        <v>140</v>
      </c>
      <c r="AL31" s="1131"/>
      <c r="AM31" s="1132"/>
      <c r="AN31" s="1133"/>
      <c r="AO31" s="1134"/>
      <c r="AP31" s="1135"/>
      <c r="AQ31" s="1136">
        <v>150</v>
      </c>
      <c r="AR31" s="1137">
        <f t="shared" si="14"/>
        <v>150</v>
      </c>
      <c r="AS31" s="1138">
        <f>AP31/AJ31</f>
        <v>0</v>
      </c>
      <c r="AT31" s="1133"/>
      <c r="AU31" s="1129">
        <v>150</v>
      </c>
      <c r="AV31" s="1139"/>
      <c r="AW31" s="1140">
        <v>0</v>
      </c>
      <c r="AX31" s="1141">
        <f>AW31/AU31</f>
        <v>0</v>
      </c>
      <c r="AY31" s="1142">
        <v>0</v>
      </c>
      <c r="AZ31" s="1142">
        <f t="shared" si="15"/>
        <v>0</v>
      </c>
      <c r="BA31" s="1141">
        <f>AZ31/AU31</f>
        <v>0</v>
      </c>
      <c r="BB31" s="1143">
        <v>0</v>
      </c>
      <c r="BC31" s="1144"/>
      <c r="BD31" s="1140"/>
      <c r="BE31" s="1140">
        <v>0</v>
      </c>
      <c r="BF31" s="1145"/>
      <c r="BG31" s="1146"/>
      <c r="BH31" s="1140"/>
      <c r="BI31" s="1145">
        <v>0</v>
      </c>
      <c r="BJ31" s="1147">
        <v>0</v>
      </c>
      <c r="BK31" s="1148">
        <f t="shared" si="1"/>
        <v>0</v>
      </c>
      <c r="BL31" s="1149"/>
      <c r="BM31" s="1299"/>
      <c r="BN31" s="1305">
        <v>0</v>
      </c>
      <c r="BO31" s="821"/>
      <c r="BP31" s="1258"/>
      <c r="BQ31" s="1309">
        <f>BV31+BP31</f>
        <v>0</v>
      </c>
      <c r="BR31" s="1314"/>
      <c r="BS31" s="1314"/>
      <c r="BT31" s="1321"/>
      <c r="BU31" s="1288"/>
      <c r="BV31" s="1328"/>
      <c r="BY31" s="626" t="s">
        <v>1041</v>
      </c>
      <c r="BZ31" s="180"/>
      <c r="CA31" s="1180"/>
      <c r="CB31" s="650"/>
      <c r="CC31" s="633">
        <f>514704.33-8020.8-BP67-346461</f>
        <v>147040.67792000005</v>
      </c>
      <c r="CD31" s="1259" t="s">
        <v>1039</v>
      </c>
      <c r="CF31" s="26" t="s">
        <v>51</v>
      </c>
      <c r="CG31" s="27"/>
      <c r="CH31" s="220"/>
      <c r="CI31" s="75"/>
      <c r="CJ31" s="27"/>
      <c r="CK31" s="28">
        <f>SUM(CK25:CK28)</f>
        <v>495992.97999999992</v>
      </c>
      <c r="CL31" s="310"/>
    </row>
    <row r="32" spans="1:90" x14ac:dyDescent="0.35">
      <c r="A32" s="1098"/>
      <c r="B32" s="1099"/>
      <c r="C32" s="1100"/>
      <c r="D32" s="1101"/>
      <c r="E32" s="1102"/>
      <c r="F32" s="1103"/>
      <c r="G32" s="1104"/>
      <c r="H32" s="1105"/>
      <c r="I32" s="1106"/>
      <c r="J32" s="1107"/>
      <c r="K32" s="1108"/>
      <c r="L32" s="1109"/>
      <c r="M32" s="1110"/>
      <c r="N32" s="1111"/>
      <c r="O32" s="1112"/>
      <c r="P32" s="1113"/>
      <c r="Q32" s="1114"/>
      <c r="R32" s="1114"/>
      <c r="S32" s="1106"/>
      <c r="T32" s="1098"/>
      <c r="U32" s="1115"/>
      <c r="V32" s="1116"/>
      <c r="W32" s="1117"/>
      <c r="X32" s="1118"/>
      <c r="Y32" s="1119"/>
      <c r="Z32" s="1120"/>
      <c r="AA32" s="1121"/>
      <c r="AB32" s="1122"/>
      <c r="AC32" s="1123"/>
      <c r="AD32" s="1124"/>
      <c r="AE32" s="1125"/>
      <c r="AF32" s="1126"/>
      <c r="AG32" s="1127"/>
      <c r="AH32" s="1128"/>
      <c r="AI32" s="1127"/>
      <c r="AJ32" s="1129"/>
      <c r="AK32" s="1130"/>
      <c r="AL32" s="1131"/>
      <c r="AM32" s="1132"/>
      <c r="AN32" s="1133"/>
      <c r="AO32" s="1134"/>
      <c r="AP32" s="1135"/>
      <c r="AQ32" s="1136"/>
      <c r="AR32" s="1137"/>
      <c r="AS32" s="1138"/>
      <c r="AT32" s="1133"/>
      <c r="AU32" s="1129"/>
      <c r="AV32" s="1139"/>
      <c r="AW32" s="1140"/>
      <c r="AX32" s="1141"/>
      <c r="AY32" s="1142"/>
      <c r="AZ32" s="1142"/>
      <c r="BA32" s="1141"/>
      <c r="BB32" s="1143"/>
      <c r="BC32" s="1144"/>
      <c r="BD32" s="1140"/>
      <c r="BE32" s="1140"/>
      <c r="BF32" s="1145"/>
      <c r="BG32" s="1146"/>
      <c r="BH32" s="1140"/>
      <c r="BI32" s="1145"/>
      <c r="BJ32" s="1147"/>
      <c r="BK32" s="1148"/>
      <c r="BL32" s="1149"/>
      <c r="BM32" s="1299"/>
      <c r="BN32" s="1305"/>
      <c r="BO32" s="821"/>
      <c r="BP32" s="1258"/>
      <c r="BQ32" s="1309"/>
      <c r="BR32" s="1314"/>
      <c r="BS32" s="1314"/>
      <c r="BT32" s="1321"/>
      <c r="BU32" s="1288"/>
      <c r="BV32" s="1328"/>
      <c r="BY32" s="626"/>
      <c r="BZ32" s="180"/>
      <c r="CA32" s="1180"/>
      <c r="CB32" s="650"/>
      <c r="CC32" s="633"/>
      <c r="CD32" s="1259"/>
      <c r="CF32" s="7"/>
      <c r="CG32" s="7"/>
      <c r="CH32" s="2"/>
      <c r="CI32" s="73"/>
      <c r="CJ32" s="7"/>
      <c r="CK32" s="33"/>
      <c r="CL32" s="310"/>
    </row>
    <row r="33" spans="1:82" ht="24.75" customHeight="1" thickBot="1" x14ac:dyDescent="0.4">
      <c r="A33" s="180" t="s">
        <v>24</v>
      </c>
      <c r="B33" s="9">
        <v>3250</v>
      </c>
      <c r="C33" s="181">
        <v>208.36</v>
      </c>
      <c r="D33" s="822">
        <f t="shared" si="4"/>
        <v>6.4110769230769235E-2</v>
      </c>
      <c r="E33" s="626">
        <v>208.36</v>
      </c>
      <c r="F33" s="823">
        <f t="shared" si="5"/>
        <v>6.4110769230769235E-2</v>
      </c>
      <c r="G33" s="892"/>
      <c r="H33" s="893">
        <v>3009.04</v>
      </c>
      <c r="I33" s="864">
        <v>5000</v>
      </c>
      <c r="J33" s="827">
        <v>2658.94</v>
      </c>
      <c r="K33" s="828">
        <f t="shared" si="6"/>
        <v>0.53178800000000004</v>
      </c>
      <c r="L33" s="865">
        <v>5000</v>
      </c>
      <c r="M33" s="830"/>
      <c r="N33" s="831">
        <f t="shared" si="0"/>
        <v>0</v>
      </c>
      <c r="O33" s="832">
        <v>0</v>
      </c>
      <c r="P33" s="833">
        <f t="shared" si="16"/>
        <v>0</v>
      </c>
      <c r="Q33" s="834"/>
      <c r="R33" s="834"/>
      <c r="S33" s="864"/>
      <c r="T33" s="180" t="s">
        <v>25</v>
      </c>
      <c r="U33" s="866"/>
      <c r="V33" s="867">
        <f t="shared" si="7"/>
        <v>0</v>
      </c>
      <c r="W33" s="868">
        <v>2800.68</v>
      </c>
      <c r="X33" s="869">
        <f t="shared" si="8"/>
        <v>0.56013599999999997</v>
      </c>
      <c r="Y33" s="870">
        <v>2800</v>
      </c>
      <c r="Z33" s="838">
        <v>2940</v>
      </c>
      <c r="AA33" s="871">
        <v>466.85</v>
      </c>
      <c r="AB33" s="872">
        <f t="shared" si="9"/>
        <v>0.15879251700680272</v>
      </c>
      <c r="AC33" s="873">
        <v>1400.41</v>
      </c>
      <c r="AD33" s="874">
        <f t="shared" si="10"/>
        <v>0.47632993197278917</v>
      </c>
      <c r="AE33" s="875">
        <v>1400.3</v>
      </c>
      <c r="AF33" s="876">
        <f t="shared" si="11"/>
        <v>2800.71</v>
      </c>
      <c r="AG33" s="877">
        <f t="shared" si="12"/>
        <v>0.95262244897959181</v>
      </c>
      <c r="AH33" s="878">
        <v>2567.36</v>
      </c>
      <c r="AI33" s="877">
        <f t="shared" si="13"/>
        <v>0.87325170068027214</v>
      </c>
      <c r="AJ33" s="879">
        <v>3000</v>
      </c>
      <c r="AK33" s="880" t="s">
        <v>147</v>
      </c>
      <c r="AL33" s="805">
        <v>1661</v>
      </c>
      <c r="AM33" s="806">
        <v>1620</v>
      </c>
      <c r="AN33" s="882">
        <v>1413.24</v>
      </c>
      <c r="AO33" s="883">
        <v>1888.62</v>
      </c>
      <c r="AP33" s="884">
        <v>2839.38</v>
      </c>
      <c r="AQ33" s="885">
        <f>AO33/9*3</f>
        <v>629.54</v>
      </c>
      <c r="AR33" s="886">
        <f t="shared" si="14"/>
        <v>2518.16</v>
      </c>
      <c r="AS33" s="887">
        <f>AP33/AJ33</f>
        <v>0.94646000000000008</v>
      </c>
      <c r="AT33" s="882"/>
      <c r="AU33" s="888">
        <v>2900</v>
      </c>
      <c r="AV33" s="889" t="s">
        <v>207</v>
      </c>
      <c r="AW33" s="851">
        <v>1258.8399999999999</v>
      </c>
      <c r="AX33" s="849">
        <f>AW33/AU33</f>
        <v>0.43408275862068962</v>
      </c>
      <c r="AY33" s="850">
        <v>725</v>
      </c>
      <c r="AZ33" s="850">
        <f t="shared" si="15"/>
        <v>1983.84</v>
      </c>
      <c r="BA33" s="849">
        <f>AZ33/AU33</f>
        <v>0.68408275862068968</v>
      </c>
      <c r="BB33" s="839">
        <v>2500</v>
      </c>
      <c r="BC33" s="848" t="s">
        <v>232</v>
      </c>
      <c r="BD33" s="851">
        <v>1297.8599999999999</v>
      </c>
      <c r="BE33" s="851">
        <v>1297.8599999999999</v>
      </c>
      <c r="BF33" s="852">
        <f>BE33/BB33</f>
        <v>0.51914399999999994</v>
      </c>
      <c r="BG33" s="853">
        <v>500</v>
      </c>
      <c r="BH33" s="851">
        <v>0</v>
      </c>
      <c r="BI33" s="852">
        <f t="shared" ref="BI33:BI63" si="18">BH33/BG33</f>
        <v>0</v>
      </c>
      <c r="BJ33" s="854">
        <v>1000</v>
      </c>
      <c r="BK33" s="890">
        <f t="shared" si="1"/>
        <v>1000</v>
      </c>
      <c r="BL33" s="821"/>
      <c r="BM33" s="1296">
        <v>0</v>
      </c>
      <c r="BN33" s="1303">
        <v>3000</v>
      </c>
      <c r="BO33" s="894" t="s">
        <v>373</v>
      </c>
      <c r="BP33" s="1257">
        <v>2150</v>
      </c>
      <c r="BQ33" s="1308">
        <f t="shared" ref="BQ33:BQ49" si="19">BV33+BP33</f>
        <v>6058.95</v>
      </c>
      <c r="BR33" s="1313">
        <v>3908.95</v>
      </c>
      <c r="BS33" s="1315">
        <f t="shared" si="2"/>
        <v>1.3029833333333334</v>
      </c>
      <c r="BT33" s="1320">
        <v>3360</v>
      </c>
      <c r="BU33" s="1287" t="s">
        <v>1015</v>
      </c>
      <c r="BV33" s="1327">
        <f>'Natwest Expenses'!AB132</f>
        <v>3908.95</v>
      </c>
      <c r="BW33" s="620" t="s">
        <v>1176</v>
      </c>
      <c r="BY33" s="639" t="s">
        <v>51</v>
      </c>
      <c r="BZ33" s="640"/>
      <c r="CA33" s="641"/>
      <c r="CB33" s="642"/>
      <c r="CC33" s="643">
        <f>SUM(CC26:CC31)</f>
        <v>573394.23791999999</v>
      </c>
      <c r="CD33" s="180"/>
    </row>
    <row r="34" spans="1:82" x14ac:dyDescent="0.35">
      <c r="A34" s="180" t="s">
        <v>26</v>
      </c>
      <c r="B34" s="9">
        <v>350</v>
      </c>
      <c r="C34" s="181"/>
      <c r="D34" s="822">
        <f t="shared" si="4"/>
        <v>0</v>
      </c>
      <c r="E34" s="626"/>
      <c r="F34" s="823">
        <f t="shared" si="5"/>
        <v>0</v>
      </c>
      <c r="G34" s="892">
        <v>300</v>
      </c>
      <c r="H34" s="893"/>
      <c r="I34" s="864">
        <v>350</v>
      </c>
      <c r="J34" s="827"/>
      <c r="K34" s="828">
        <f t="shared" si="6"/>
        <v>0</v>
      </c>
      <c r="L34" s="865">
        <v>350</v>
      </c>
      <c r="M34" s="830">
        <v>300</v>
      </c>
      <c r="N34" s="831">
        <f t="shared" si="0"/>
        <v>0.8571428571428571</v>
      </c>
      <c r="O34" s="832">
        <v>300</v>
      </c>
      <c r="P34" s="833">
        <f t="shared" si="16"/>
        <v>0.8571428571428571</v>
      </c>
      <c r="Q34" s="834"/>
      <c r="R34" s="834"/>
      <c r="S34" s="864"/>
      <c r="T34" s="180" t="s">
        <v>27</v>
      </c>
      <c r="U34" s="866">
        <v>300</v>
      </c>
      <c r="V34" s="867">
        <f t="shared" si="7"/>
        <v>0.8571428571428571</v>
      </c>
      <c r="W34" s="868">
        <v>600</v>
      </c>
      <c r="X34" s="869">
        <f t="shared" si="8"/>
        <v>1.7142857142857142</v>
      </c>
      <c r="Y34" s="870"/>
      <c r="Z34" s="838">
        <v>350</v>
      </c>
      <c r="AA34" s="871"/>
      <c r="AB34" s="872">
        <f t="shared" si="9"/>
        <v>0</v>
      </c>
      <c r="AC34" s="873"/>
      <c r="AD34" s="874">
        <f t="shared" si="10"/>
        <v>0</v>
      </c>
      <c r="AE34" s="875">
        <v>350</v>
      </c>
      <c r="AF34" s="876">
        <f t="shared" si="11"/>
        <v>350</v>
      </c>
      <c r="AG34" s="877">
        <f t="shared" si="12"/>
        <v>1</v>
      </c>
      <c r="AH34" s="878"/>
      <c r="AI34" s="877">
        <f t="shared" si="13"/>
        <v>0</v>
      </c>
      <c r="AJ34" s="879">
        <v>350</v>
      </c>
      <c r="AK34" s="880"/>
      <c r="AL34" s="805"/>
      <c r="AM34" s="806"/>
      <c r="AN34" s="882"/>
      <c r="AO34" s="883"/>
      <c r="AP34" s="884"/>
      <c r="AQ34" s="885">
        <v>350</v>
      </c>
      <c r="AR34" s="886">
        <f t="shared" si="14"/>
        <v>350</v>
      </c>
      <c r="AS34" s="887">
        <f>AP34/AJ34</f>
        <v>0</v>
      </c>
      <c r="AT34" s="882"/>
      <c r="AU34" s="888">
        <v>350</v>
      </c>
      <c r="AV34" s="889" t="s">
        <v>216</v>
      </c>
      <c r="AW34" s="851">
        <v>400</v>
      </c>
      <c r="AX34" s="849">
        <f>AW34/AU34</f>
        <v>1.1428571428571428</v>
      </c>
      <c r="AY34" s="850">
        <v>0</v>
      </c>
      <c r="AZ34" s="850">
        <f>AW34+AY34-50</f>
        <v>350</v>
      </c>
      <c r="BA34" s="849">
        <f>AZ34/AU34</f>
        <v>1</v>
      </c>
      <c r="BB34" s="839">
        <v>500</v>
      </c>
      <c r="BC34" s="848" t="s">
        <v>251</v>
      </c>
      <c r="BD34" s="851">
        <v>0</v>
      </c>
      <c r="BE34" s="851">
        <v>0</v>
      </c>
      <c r="BF34" s="852">
        <f>BE34/BB34</f>
        <v>0</v>
      </c>
      <c r="BG34" s="853">
        <v>400</v>
      </c>
      <c r="BH34" s="851"/>
      <c r="BI34" s="852">
        <f t="shared" si="18"/>
        <v>0</v>
      </c>
      <c r="BJ34" s="854">
        <v>400</v>
      </c>
      <c r="BK34" s="890">
        <f t="shared" si="1"/>
        <v>400</v>
      </c>
      <c r="BL34" s="821"/>
      <c r="BM34" s="1296">
        <v>440</v>
      </c>
      <c r="BN34" s="1303">
        <v>500</v>
      </c>
      <c r="BO34" s="821"/>
      <c r="BP34" s="1256">
        <v>500</v>
      </c>
      <c r="BQ34" s="1308">
        <f t="shared" si="19"/>
        <v>500</v>
      </c>
      <c r="BR34" s="1313">
        <v>0</v>
      </c>
      <c r="BS34" s="1315">
        <f t="shared" si="2"/>
        <v>0</v>
      </c>
      <c r="BT34" s="1319">
        <v>500</v>
      </c>
      <c r="BU34" s="1261" t="s">
        <v>1016</v>
      </c>
      <c r="BV34" s="1326">
        <v>0</v>
      </c>
    </row>
    <row r="35" spans="1:82" ht="16.5" hidden="1" customHeight="1" thickBot="1" x14ac:dyDescent="0.4">
      <c r="A35" s="895" t="s">
        <v>141</v>
      </c>
      <c r="B35" s="342">
        <v>100</v>
      </c>
      <c r="C35" s="343"/>
      <c r="D35" s="896">
        <f t="shared" si="4"/>
        <v>0</v>
      </c>
      <c r="E35" s="897">
        <v>78.5</v>
      </c>
      <c r="F35" s="898">
        <f t="shared" si="5"/>
        <v>0.78500000000000003</v>
      </c>
      <c r="G35" s="899">
        <f>E35</f>
        <v>78.5</v>
      </c>
      <c r="H35" s="900">
        <v>78.5</v>
      </c>
      <c r="I35" s="901">
        <v>60</v>
      </c>
      <c r="J35" s="902">
        <v>78.5</v>
      </c>
      <c r="K35" s="903">
        <f t="shared" si="6"/>
        <v>1.3083333333333333</v>
      </c>
      <c r="L35" s="865">
        <v>60</v>
      </c>
      <c r="M35" s="904"/>
      <c r="N35" s="905"/>
      <c r="O35" s="906">
        <v>0</v>
      </c>
      <c r="P35" s="907">
        <f t="shared" si="16"/>
        <v>0</v>
      </c>
      <c r="Q35" s="908"/>
      <c r="R35" s="908"/>
      <c r="S35" s="901"/>
      <c r="T35" s="895"/>
      <c r="U35" s="909">
        <v>78.5</v>
      </c>
      <c r="V35" s="910">
        <f t="shared" si="7"/>
        <v>1.3083333333333333</v>
      </c>
      <c r="W35" s="911">
        <v>78.5</v>
      </c>
      <c r="X35" s="912">
        <f t="shared" si="8"/>
        <v>1.3083333333333333</v>
      </c>
      <c r="Y35" s="913"/>
      <c r="Z35" s="914">
        <v>82.43</v>
      </c>
      <c r="AA35" s="915"/>
      <c r="AB35" s="916">
        <f t="shared" si="9"/>
        <v>0</v>
      </c>
      <c r="AC35" s="917">
        <v>55</v>
      </c>
      <c r="AD35" s="918">
        <f t="shared" si="10"/>
        <v>0.66723280359092563</v>
      </c>
      <c r="AE35" s="919">
        <v>0</v>
      </c>
      <c r="AF35" s="920">
        <f t="shared" si="11"/>
        <v>55</v>
      </c>
      <c r="AG35" s="921">
        <f t="shared" si="12"/>
        <v>0.66723280359092563</v>
      </c>
      <c r="AH35" s="922"/>
      <c r="AI35" s="921">
        <f t="shared" si="13"/>
        <v>0</v>
      </c>
      <c r="AJ35" s="923"/>
      <c r="AK35" s="924" t="s">
        <v>153</v>
      </c>
      <c r="AL35" s="925">
        <v>55</v>
      </c>
      <c r="AM35" s="926">
        <v>55</v>
      </c>
      <c r="AN35" s="927"/>
      <c r="AO35" s="928"/>
      <c r="AP35" s="929"/>
      <c r="AQ35" s="930"/>
      <c r="AR35" s="931">
        <f t="shared" si="14"/>
        <v>0</v>
      </c>
      <c r="AS35" s="932"/>
      <c r="AT35" s="927"/>
      <c r="AU35" s="923"/>
      <c r="AV35" s="933" t="s">
        <v>210</v>
      </c>
      <c r="AW35" s="934"/>
      <c r="AX35" s="935"/>
      <c r="AY35" s="936"/>
      <c r="AZ35" s="936">
        <f t="shared" si="15"/>
        <v>0</v>
      </c>
      <c r="BA35" s="935"/>
      <c r="BB35" s="945"/>
      <c r="BC35" s="848"/>
      <c r="BD35" s="851"/>
      <c r="BE35" s="851"/>
      <c r="BF35" s="852"/>
      <c r="BG35" s="853"/>
      <c r="BH35" s="851"/>
      <c r="BI35" s="852" t="e">
        <f t="shared" si="18"/>
        <v>#DIV/0!</v>
      </c>
      <c r="BJ35" s="854"/>
      <c r="BK35" s="890">
        <f t="shared" si="1"/>
        <v>0</v>
      </c>
      <c r="BL35" s="821"/>
      <c r="BM35" s="1296"/>
      <c r="BN35" s="1303"/>
      <c r="BO35" s="821"/>
      <c r="BP35" s="1256"/>
      <c r="BQ35" s="1308">
        <f t="shared" si="19"/>
        <v>0</v>
      </c>
      <c r="BR35" s="1313"/>
      <c r="BS35" s="1315" t="e">
        <f t="shared" si="2"/>
        <v>#DIV/0!</v>
      </c>
      <c r="BT35" s="1319"/>
      <c r="BV35" s="1326"/>
      <c r="BY35" s="260"/>
      <c r="BZ35" s="210"/>
      <c r="CA35" s="4"/>
      <c r="CB35" s="2"/>
      <c r="CC35" s="111"/>
    </row>
    <row r="36" spans="1:82" hidden="1" x14ac:dyDescent="0.35">
      <c r="A36" s="895" t="s">
        <v>28</v>
      </c>
      <c r="B36" s="342">
        <v>2250</v>
      </c>
      <c r="C36" s="343"/>
      <c r="D36" s="896">
        <f t="shared" si="4"/>
        <v>0</v>
      </c>
      <c r="E36" s="897">
        <v>620</v>
      </c>
      <c r="F36" s="898">
        <f t="shared" si="5"/>
        <v>0.27555555555555555</v>
      </c>
      <c r="G36" s="899">
        <f>E36</f>
        <v>620</v>
      </c>
      <c r="H36" s="900">
        <v>620</v>
      </c>
      <c r="I36" s="901">
        <v>1000</v>
      </c>
      <c r="J36" s="902">
        <v>620</v>
      </c>
      <c r="K36" s="903">
        <f t="shared" si="6"/>
        <v>0.62</v>
      </c>
      <c r="L36" s="865">
        <v>1000</v>
      </c>
      <c r="M36" s="904"/>
      <c r="N36" s="905">
        <f>M36/L36</f>
        <v>0</v>
      </c>
      <c r="O36" s="906">
        <v>28.32</v>
      </c>
      <c r="P36" s="907">
        <f t="shared" si="16"/>
        <v>2.8320000000000001E-2</v>
      </c>
      <c r="Q36" s="908"/>
      <c r="R36" s="908"/>
      <c r="S36" s="901"/>
      <c r="T36" s="895"/>
      <c r="U36" s="909">
        <v>28.32</v>
      </c>
      <c r="V36" s="910">
        <f t="shared" si="7"/>
        <v>2.8320000000000001E-2</v>
      </c>
      <c r="W36" s="911">
        <v>28.32</v>
      </c>
      <c r="X36" s="912">
        <f t="shared" si="8"/>
        <v>2.8320000000000001E-2</v>
      </c>
      <c r="Y36" s="913"/>
      <c r="Z36" s="914">
        <v>1000</v>
      </c>
      <c r="AA36" s="915">
        <v>37</v>
      </c>
      <c r="AB36" s="916">
        <f t="shared" si="9"/>
        <v>3.6999999999999998E-2</v>
      </c>
      <c r="AC36" s="917">
        <v>42.5</v>
      </c>
      <c r="AD36" s="918">
        <f t="shared" si="10"/>
        <v>4.2500000000000003E-2</v>
      </c>
      <c r="AE36" s="919"/>
      <c r="AF36" s="920">
        <f t="shared" si="11"/>
        <v>42.5</v>
      </c>
      <c r="AG36" s="921">
        <f t="shared" si="12"/>
        <v>4.2500000000000003E-2</v>
      </c>
      <c r="AH36" s="922">
        <v>115.5</v>
      </c>
      <c r="AI36" s="921">
        <f t="shared" si="13"/>
        <v>0.11550000000000001</v>
      </c>
      <c r="AJ36" s="923"/>
      <c r="AK36" s="924" t="s">
        <v>153</v>
      </c>
      <c r="AL36" s="925">
        <v>1000</v>
      </c>
      <c r="AM36" s="926">
        <v>42.5</v>
      </c>
      <c r="AN36" s="927"/>
      <c r="AO36" s="928"/>
      <c r="AP36" s="929"/>
      <c r="AQ36" s="930"/>
      <c r="AR36" s="931">
        <f t="shared" si="14"/>
        <v>0</v>
      </c>
      <c r="AS36" s="932"/>
      <c r="AT36" s="927"/>
      <c r="AU36" s="923"/>
      <c r="AV36" s="933" t="s">
        <v>210</v>
      </c>
      <c r="AW36" s="934"/>
      <c r="AX36" s="935"/>
      <c r="AY36" s="936"/>
      <c r="AZ36" s="936">
        <f t="shared" si="15"/>
        <v>0</v>
      </c>
      <c r="BA36" s="935"/>
      <c r="BB36" s="945"/>
      <c r="BC36" s="848"/>
      <c r="BD36" s="851"/>
      <c r="BE36" s="851"/>
      <c r="BF36" s="852"/>
      <c r="BG36" s="853"/>
      <c r="BH36" s="851"/>
      <c r="BI36" s="852" t="e">
        <f t="shared" si="18"/>
        <v>#DIV/0!</v>
      </c>
      <c r="BJ36" s="854"/>
      <c r="BK36" s="890">
        <f t="shared" si="1"/>
        <v>0</v>
      </c>
      <c r="BL36" s="821"/>
      <c r="BM36" s="1296"/>
      <c r="BN36" s="1303"/>
      <c r="BO36" s="821"/>
      <c r="BP36" s="1256"/>
      <c r="BQ36" s="1308">
        <f t="shared" si="19"/>
        <v>0</v>
      </c>
      <c r="BR36" s="1313"/>
      <c r="BS36" s="1315" t="e">
        <f t="shared" si="2"/>
        <v>#DIV/0!</v>
      </c>
      <c r="BT36" s="1319"/>
      <c r="BV36" s="1326"/>
      <c r="BY36" s="7"/>
      <c r="BZ36" s="7"/>
      <c r="CA36" s="327"/>
      <c r="CB36" s="2"/>
      <c r="CC36" s="144"/>
      <c r="CD36" s="312"/>
    </row>
    <row r="37" spans="1:82" hidden="1" x14ac:dyDescent="0.35">
      <c r="A37" s="895" t="s">
        <v>101</v>
      </c>
      <c r="B37" s="342"/>
      <c r="C37" s="343"/>
      <c r="D37" s="896"/>
      <c r="E37" s="897"/>
      <c r="F37" s="898"/>
      <c r="G37" s="899"/>
      <c r="H37" s="900"/>
      <c r="I37" s="901"/>
      <c r="J37" s="902"/>
      <c r="K37" s="903"/>
      <c r="L37" s="865"/>
      <c r="M37" s="904"/>
      <c r="N37" s="946"/>
      <c r="O37" s="906">
        <v>0</v>
      </c>
      <c r="P37" s="907"/>
      <c r="Q37" s="947">
        <v>9700.5</v>
      </c>
      <c r="R37" s="947" t="s">
        <v>108</v>
      </c>
      <c r="S37" s="901"/>
      <c r="T37" s="895"/>
      <c r="U37" s="909"/>
      <c r="V37" s="910"/>
      <c r="W37" s="911">
        <v>0</v>
      </c>
      <c r="X37" s="912"/>
      <c r="Y37" s="913"/>
      <c r="Z37" s="914"/>
      <c r="AA37" s="915"/>
      <c r="AB37" s="916"/>
      <c r="AC37" s="917"/>
      <c r="AD37" s="918"/>
      <c r="AE37" s="919">
        <v>7000</v>
      </c>
      <c r="AF37" s="920">
        <f t="shared" si="11"/>
        <v>7000</v>
      </c>
      <c r="AG37" s="921"/>
      <c r="AH37" s="922"/>
      <c r="AI37" s="921"/>
      <c r="AJ37" s="923"/>
      <c r="AK37" s="924" t="s">
        <v>148</v>
      </c>
      <c r="AL37" s="925"/>
      <c r="AM37" s="926"/>
      <c r="AN37" s="927"/>
      <c r="AO37" s="928"/>
      <c r="AP37" s="929"/>
      <c r="AQ37" s="930"/>
      <c r="AR37" s="931">
        <f t="shared" si="14"/>
        <v>0</v>
      </c>
      <c r="AS37" s="932"/>
      <c r="AT37" s="927"/>
      <c r="AU37" s="923"/>
      <c r="AV37" s="933" t="s">
        <v>210</v>
      </c>
      <c r="AW37" s="934"/>
      <c r="AX37" s="935"/>
      <c r="AY37" s="936"/>
      <c r="AZ37" s="936">
        <f t="shared" si="15"/>
        <v>0</v>
      </c>
      <c r="BA37" s="935"/>
      <c r="BB37" s="945"/>
      <c r="BC37" s="848"/>
      <c r="BD37" s="851"/>
      <c r="BE37" s="851"/>
      <c r="BF37" s="852"/>
      <c r="BG37" s="853"/>
      <c r="BH37" s="851"/>
      <c r="BI37" s="852" t="e">
        <f t="shared" si="18"/>
        <v>#DIV/0!</v>
      </c>
      <c r="BJ37" s="854"/>
      <c r="BK37" s="890">
        <f t="shared" si="1"/>
        <v>0</v>
      </c>
      <c r="BL37" s="821"/>
      <c r="BM37" s="1296"/>
      <c r="BN37" s="1303"/>
      <c r="BO37" s="821"/>
      <c r="BP37" s="1256"/>
      <c r="BQ37" s="1308">
        <f t="shared" si="19"/>
        <v>0</v>
      </c>
      <c r="BR37" s="1313"/>
      <c r="BS37" s="1315" t="e">
        <f t="shared" si="2"/>
        <v>#DIV/0!</v>
      </c>
      <c r="BT37" s="1319"/>
      <c r="BV37" s="1326"/>
    </row>
    <row r="38" spans="1:82" hidden="1" x14ac:dyDescent="0.35">
      <c r="A38" s="895" t="s">
        <v>29</v>
      </c>
      <c r="B38" s="342">
        <v>6500</v>
      </c>
      <c r="C38" s="343"/>
      <c r="D38" s="896">
        <f t="shared" si="4"/>
        <v>0</v>
      </c>
      <c r="E38" s="897">
        <v>4678.8100000000004</v>
      </c>
      <c r="F38" s="898">
        <f t="shared" si="5"/>
        <v>0.71981692307692313</v>
      </c>
      <c r="G38" s="899">
        <f>E38</f>
        <v>4678.8100000000004</v>
      </c>
      <c r="H38" s="900">
        <v>4738.8100000000004</v>
      </c>
      <c r="I38" s="901">
        <v>1000</v>
      </c>
      <c r="J38" s="902">
        <v>4738.8100000000004</v>
      </c>
      <c r="K38" s="903">
        <f t="shared" si="6"/>
        <v>4.73881</v>
      </c>
      <c r="L38" s="865">
        <v>1000</v>
      </c>
      <c r="M38" s="904"/>
      <c r="N38" s="905">
        <f>M38/L38</f>
        <v>0</v>
      </c>
      <c r="O38" s="906">
        <v>1405.12</v>
      </c>
      <c r="P38" s="907">
        <f t="shared" si="16"/>
        <v>1.4051199999999999</v>
      </c>
      <c r="Q38" s="908" t="s">
        <v>116</v>
      </c>
      <c r="R38" s="908"/>
      <c r="S38" s="901"/>
      <c r="T38" s="895" t="s">
        <v>30</v>
      </c>
      <c r="U38" s="909"/>
      <c r="V38" s="910">
        <f t="shared" si="7"/>
        <v>0</v>
      </c>
      <c r="W38" s="911">
        <v>280</v>
      </c>
      <c r="X38" s="912">
        <f t="shared" si="8"/>
        <v>0.28000000000000003</v>
      </c>
      <c r="Y38" s="913"/>
      <c r="Z38" s="914">
        <v>500</v>
      </c>
      <c r="AA38" s="915"/>
      <c r="AB38" s="916">
        <f t="shared" si="9"/>
        <v>0</v>
      </c>
      <c r="AC38" s="917"/>
      <c r="AD38" s="918">
        <f t="shared" si="10"/>
        <v>0</v>
      </c>
      <c r="AE38" s="919"/>
      <c r="AF38" s="920">
        <f t="shared" si="11"/>
        <v>0</v>
      </c>
      <c r="AG38" s="921">
        <f t="shared" si="12"/>
        <v>0</v>
      </c>
      <c r="AH38" s="922"/>
      <c r="AI38" s="921">
        <f t="shared" si="13"/>
        <v>0</v>
      </c>
      <c r="AJ38" s="923"/>
      <c r="AK38" s="924" t="s">
        <v>153</v>
      </c>
      <c r="AL38" s="925">
        <v>2000</v>
      </c>
      <c r="AM38" s="926"/>
      <c r="AN38" s="927"/>
      <c r="AO38" s="928"/>
      <c r="AP38" s="929"/>
      <c r="AQ38" s="930"/>
      <c r="AR38" s="931">
        <f t="shared" si="14"/>
        <v>0</v>
      </c>
      <c r="AS38" s="932"/>
      <c r="AT38" s="927"/>
      <c r="AU38" s="923"/>
      <c r="AV38" s="933" t="s">
        <v>210</v>
      </c>
      <c r="AW38" s="934"/>
      <c r="AX38" s="935"/>
      <c r="AY38" s="936"/>
      <c r="AZ38" s="936">
        <f t="shared" si="15"/>
        <v>0</v>
      </c>
      <c r="BA38" s="935"/>
      <c r="BB38" s="945"/>
      <c r="BC38" s="848"/>
      <c r="BD38" s="851"/>
      <c r="BE38" s="851"/>
      <c r="BF38" s="852"/>
      <c r="BG38" s="853"/>
      <c r="BH38" s="851"/>
      <c r="BI38" s="852" t="e">
        <f t="shared" si="18"/>
        <v>#DIV/0!</v>
      </c>
      <c r="BJ38" s="854"/>
      <c r="BK38" s="890">
        <f t="shared" si="1"/>
        <v>0</v>
      </c>
      <c r="BL38" s="821"/>
      <c r="BM38" s="1296"/>
      <c r="BN38" s="1303"/>
      <c r="BO38" s="821"/>
      <c r="BP38" s="1256"/>
      <c r="BQ38" s="1308">
        <f t="shared" si="19"/>
        <v>0</v>
      </c>
      <c r="BR38" s="1313"/>
      <c r="BS38" s="1315" t="e">
        <f t="shared" si="2"/>
        <v>#DIV/0!</v>
      </c>
      <c r="BT38" s="1319"/>
      <c r="BV38" s="1326"/>
    </row>
    <row r="39" spans="1:82" hidden="1" x14ac:dyDescent="0.35">
      <c r="A39" s="895" t="s">
        <v>31</v>
      </c>
      <c r="B39" s="342">
        <v>0</v>
      </c>
      <c r="C39" s="343"/>
      <c r="D39" s="896"/>
      <c r="E39" s="897"/>
      <c r="F39" s="898"/>
      <c r="G39" s="899"/>
      <c r="H39" s="900"/>
      <c r="I39" s="901"/>
      <c r="J39" s="902"/>
      <c r="K39" s="903"/>
      <c r="L39" s="865"/>
      <c r="M39" s="904"/>
      <c r="N39" s="946"/>
      <c r="O39" s="906"/>
      <c r="P39" s="907"/>
      <c r="Q39" s="947"/>
      <c r="R39" s="947"/>
      <c r="S39" s="901"/>
      <c r="T39" s="901"/>
      <c r="U39" s="909"/>
      <c r="V39" s="910"/>
      <c r="W39" s="911"/>
      <c r="X39" s="912"/>
      <c r="Y39" s="913"/>
      <c r="Z39" s="914"/>
      <c r="AA39" s="915"/>
      <c r="AB39" s="916"/>
      <c r="AC39" s="917"/>
      <c r="AD39" s="918"/>
      <c r="AE39" s="919"/>
      <c r="AF39" s="920">
        <f t="shared" si="11"/>
        <v>0</v>
      </c>
      <c r="AG39" s="921"/>
      <c r="AH39" s="922"/>
      <c r="AI39" s="921"/>
      <c r="AJ39" s="923">
        <v>0</v>
      </c>
      <c r="AK39" s="924"/>
      <c r="AL39" s="925"/>
      <c r="AM39" s="926"/>
      <c r="AN39" s="927"/>
      <c r="AO39" s="928"/>
      <c r="AP39" s="929"/>
      <c r="AQ39" s="930"/>
      <c r="AR39" s="931">
        <f t="shared" si="14"/>
        <v>0</v>
      </c>
      <c r="AS39" s="932"/>
      <c r="AT39" s="927"/>
      <c r="AU39" s="923">
        <v>0</v>
      </c>
      <c r="AV39" s="933" t="s">
        <v>210</v>
      </c>
      <c r="AW39" s="934"/>
      <c r="AX39" s="935"/>
      <c r="AY39" s="936"/>
      <c r="AZ39" s="936">
        <f t="shared" si="15"/>
        <v>0</v>
      </c>
      <c r="BA39" s="935"/>
      <c r="BB39" s="945"/>
      <c r="BC39" s="848"/>
      <c r="BD39" s="851"/>
      <c r="BE39" s="851"/>
      <c r="BF39" s="852"/>
      <c r="BG39" s="853"/>
      <c r="BH39" s="851"/>
      <c r="BI39" s="852" t="e">
        <f t="shared" si="18"/>
        <v>#DIV/0!</v>
      </c>
      <c r="BJ39" s="854"/>
      <c r="BK39" s="890">
        <f t="shared" si="1"/>
        <v>0</v>
      </c>
      <c r="BL39" s="821"/>
      <c r="BM39" s="1296"/>
      <c r="BN39" s="1303"/>
      <c r="BO39" s="821"/>
      <c r="BP39" s="1256"/>
      <c r="BQ39" s="1308">
        <f t="shared" si="19"/>
        <v>0</v>
      </c>
      <c r="BR39" s="1313"/>
      <c r="BS39" s="1315" t="e">
        <f t="shared" si="2"/>
        <v>#DIV/0!</v>
      </c>
      <c r="BT39" s="1319"/>
      <c r="BV39" s="1326"/>
    </row>
    <row r="40" spans="1:82" hidden="1" x14ac:dyDescent="0.35">
      <c r="A40" s="895" t="s">
        <v>32</v>
      </c>
      <c r="B40" s="342">
        <v>200</v>
      </c>
      <c r="C40" s="343">
        <v>88.58</v>
      </c>
      <c r="D40" s="896">
        <f t="shared" si="4"/>
        <v>0.44290000000000002</v>
      </c>
      <c r="E40" s="897">
        <v>220.97</v>
      </c>
      <c r="F40" s="898">
        <f t="shared" si="5"/>
        <v>1.1048499999999999</v>
      </c>
      <c r="G40" s="899">
        <f>E40/10*12</f>
        <v>265.16399999999999</v>
      </c>
      <c r="H40" s="900">
        <v>220.97</v>
      </c>
      <c r="I40" s="901">
        <v>300</v>
      </c>
      <c r="J40" s="902">
        <v>320.61</v>
      </c>
      <c r="K40" s="903">
        <f t="shared" si="6"/>
        <v>1.0687</v>
      </c>
      <c r="L40" s="865">
        <v>300</v>
      </c>
      <c r="M40" s="904">
        <v>39.450000000000003</v>
      </c>
      <c r="N40" s="905">
        <f>M40/L40</f>
        <v>0.13150000000000001</v>
      </c>
      <c r="O40" s="906">
        <v>153.19999999999999</v>
      </c>
      <c r="P40" s="907">
        <f t="shared" si="16"/>
        <v>0.5106666666666666</v>
      </c>
      <c r="Q40" s="908"/>
      <c r="R40" s="908"/>
      <c r="S40" s="901"/>
      <c r="T40" s="901"/>
      <c r="U40" s="909">
        <v>153.19999999999999</v>
      </c>
      <c r="V40" s="910">
        <f t="shared" si="7"/>
        <v>0.5106666666666666</v>
      </c>
      <c r="W40" s="911">
        <v>436.05</v>
      </c>
      <c r="X40" s="912">
        <f t="shared" si="8"/>
        <v>1.4535</v>
      </c>
      <c r="Y40" s="913">
        <v>100</v>
      </c>
      <c r="Z40" s="914">
        <v>300</v>
      </c>
      <c r="AA40" s="915">
        <v>124.19</v>
      </c>
      <c r="AB40" s="916">
        <f t="shared" si="9"/>
        <v>0.41396666666666665</v>
      </c>
      <c r="AC40" s="917">
        <v>277.27999999999997</v>
      </c>
      <c r="AD40" s="918">
        <f t="shared" si="10"/>
        <v>0.92426666666666657</v>
      </c>
      <c r="AE40" s="919">
        <v>320</v>
      </c>
      <c r="AF40" s="920">
        <f t="shared" si="11"/>
        <v>597.28</v>
      </c>
      <c r="AG40" s="921">
        <f t="shared" si="12"/>
        <v>1.9909333333333332</v>
      </c>
      <c r="AH40" s="922">
        <v>525.97</v>
      </c>
      <c r="AI40" s="921">
        <f t="shared" si="13"/>
        <v>1.7532333333333334</v>
      </c>
      <c r="AJ40" s="923"/>
      <c r="AK40" s="924" t="s">
        <v>149</v>
      </c>
      <c r="AL40" s="925">
        <v>1000</v>
      </c>
      <c r="AM40" s="926">
        <v>597.28</v>
      </c>
      <c r="AN40" s="927"/>
      <c r="AO40" s="928"/>
      <c r="AP40" s="929"/>
      <c r="AQ40" s="930"/>
      <c r="AR40" s="931">
        <f t="shared" si="14"/>
        <v>0</v>
      </c>
      <c r="AS40" s="932"/>
      <c r="AT40" s="927"/>
      <c r="AU40" s="923"/>
      <c r="AV40" s="933" t="s">
        <v>210</v>
      </c>
      <c r="AW40" s="934"/>
      <c r="AX40" s="935"/>
      <c r="AY40" s="936"/>
      <c r="AZ40" s="936">
        <f t="shared" si="15"/>
        <v>0</v>
      </c>
      <c r="BA40" s="935"/>
      <c r="BB40" s="945"/>
      <c r="BC40" s="848"/>
      <c r="BD40" s="851"/>
      <c r="BE40" s="851"/>
      <c r="BF40" s="852"/>
      <c r="BG40" s="853"/>
      <c r="BH40" s="851"/>
      <c r="BI40" s="852" t="e">
        <f t="shared" si="18"/>
        <v>#DIV/0!</v>
      </c>
      <c r="BJ40" s="854"/>
      <c r="BK40" s="890">
        <f t="shared" si="1"/>
        <v>0</v>
      </c>
      <c r="BL40" s="821"/>
      <c r="BM40" s="1296"/>
      <c r="BN40" s="1303"/>
      <c r="BO40" s="821"/>
      <c r="BP40" s="1256"/>
      <c r="BQ40" s="1308">
        <f t="shared" si="19"/>
        <v>0</v>
      </c>
      <c r="BR40" s="1313"/>
      <c r="BS40" s="1315" t="e">
        <f t="shared" si="2"/>
        <v>#DIV/0!</v>
      </c>
      <c r="BT40" s="1319"/>
      <c r="BV40" s="1326"/>
    </row>
    <row r="41" spans="1:82" hidden="1" x14ac:dyDescent="0.35">
      <c r="A41" s="895" t="s">
        <v>33</v>
      </c>
      <c r="B41" s="342">
        <v>100</v>
      </c>
      <c r="C41" s="343"/>
      <c r="D41" s="896">
        <f t="shared" si="4"/>
        <v>0</v>
      </c>
      <c r="E41" s="897">
        <v>17.29</v>
      </c>
      <c r="F41" s="898">
        <f t="shared" si="5"/>
        <v>0.1729</v>
      </c>
      <c r="G41" s="899">
        <f>E41/10*12</f>
        <v>20.747999999999998</v>
      </c>
      <c r="H41" s="900">
        <v>44.59</v>
      </c>
      <c r="I41" s="901">
        <v>100</v>
      </c>
      <c r="J41" s="902">
        <v>44.59</v>
      </c>
      <c r="K41" s="903">
        <f t="shared" si="6"/>
        <v>0.44590000000000002</v>
      </c>
      <c r="L41" s="865">
        <v>100</v>
      </c>
      <c r="M41" s="904"/>
      <c r="N41" s="905"/>
      <c r="O41" s="906">
        <v>26.57</v>
      </c>
      <c r="P41" s="907">
        <f t="shared" si="16"/>
        <v>0.26569999999999999</v>
      </c>
      <c r="Q41" s="908"/>
      <c r="R41" s="908"/>
      <c r="S41" s="901"/>
      <c r="T41" s="901"/>
      <c r="U41" s="909">
        <v>26.57</v>
      </c>
      <c r="V41" s="910">
        <f t="shared" si="7"/>
        <v>0.26569999999999999</v>
      </c>
      <c r="W41" s="911">
        <v>44.68</v>
      </c>
      <c r="X41" s="912">
        <f t="shared" si="8"/>
        <v>0.44679999999999997</v>
      </c>
      <c r="Y41" s="913">
        <v>30</v>
      </c>
      <c r="Z41" s="914">
        <v>75</v>
      </c>
      <c r="AA41" s="915"/>
      <c r="AB41" s="916">
        <f t="shared" si="9"/>
        <v>0</v>
      </c>
      <c r="AC41" s="917">
        <v>24.93</v>
      </c>
      <c r="AD41" s="918">
        <f t="shared" si="10"/>
        <v>0.33239999999999997</v>
      </c>
      <c r="AE41" s="919">
        <v>50</v>
      </c>
      <c r="AF41" s="920">
        <f t="shared" si="11"/>
        <v>74.930000000000007</v>
      </c>
      <c r="AG41" s="921">
        <f t="shared" si="12"/>
        <v>0.99906666666666677</v>
      </c>
      <c r="AH41" s="922">
        <v>24.93</v>
      </c>
      <c r="AI41" s="921">
        <f t="shared" si="13"/>
        <v>0.33239999999999997</v>
      </c>
      <c r="AJ41" s="923"/>
      <c r="AK41" s="924"/>
      <c r="AL41" s="925">
        <v>150</v>
      </c>
      <c r="AM41" s="926">
        <v>74.930000000000007</v>
      </c>
      <c r="AN41" s="927"/>
      <c r="AO41" s="928"/>
      <c r="AP41" s="929"/>
      <c r="AQ41" s="930"/>
      <c r="AR41" s="931">
        <f t="shared" si="14"/>
        <v>0</v>
      </c>
      <c r="AS41" s="932"/>
      <c r="AT41" s="927"/>
      <c r="AU41" s="923"/>
      <c r="AV41" s="933" t="s">
        <v>210</v>
      </c>
      <c r="AW41" s="934"/>
      <c r="AX41" s="935"/>
      <c r="AY41" s="936"/>
      <c r="AZ41" s="936">
        <f t="shared" si="15"/>
        <v>0</v>
      </c>
      <c r="BA41" s="935"/>
      <c r="BB41" s="945"/>
      <c r="BC41" s="848"/>
      <c r="BD41" s="851"/>
      <c r="BE41" s="851"/>
      <c r="BF41" s="852"/>
      <c r="BG41" s="853"/>
      <c r="BH41" s="851"/>
      <c r="BI41" s="852" t="e">
        <f t="shared" si="18"/>
        <v>#DIV/0!</v>
      </c>
      <c r="BJ41" s="854"/>
      <c r="BK41" s="890">
        <f t="shared" si="1"/>
        <v>0</v>
      </c>
      <c r="BL41" s="821"/>
      <c r="BM41" s="1296"/>
      <c r="BN41" s="1303"/>
      <c r="BO41" s="821"/>
      <c r="BP41" s="1256"/>
      <c r="BQ41" s="1308">
        <f t="shared" si="19"/>
        <v>0</v>
      </c>
      <c r="BR41" s="1313"/>
      <c r="BS41" s="1315" t="e">
        <f t="shared" si="2"/>
        <v>#DIV/0!</v>
      </c>
      <c r="BT41" s="1319"/>
      <c r="BV41" s="1326"/>
    </row>
    <row r="42" spans="1:82" x14ac:dyDescent="0.35">
      <c r="A42" s="180" t="s">
        <v>34</v>
      </c>
      <c r="B42" s="9">
        <v>2500</v>
      </c>
      <c r="C42" s="181">
        <v>503.2</v>
      </c>
      <c r="D42" s="822">
        <f t="shared" si="4"/>
        <v>0.20127999999999999</v>
      </c>
      <c r="E42" s="626">
        <v>2138.6</v>
      </c>
      <c r="F42" s="823">
        <f t="shared" si="5"/>
        <v>0.85543999999999998</v>
      </c>
      <c r="G42" s="892">
        <f>E42/10*12</f>
        <v>2566.3199999999997</v>
      </c>
      <c r="H42" s="893">
        <v>2893.4</v>
      </c>
      <c r="I42" s="864">
        <v>3000</v>
      </c>
      <c r="J42" s="827">
        <v>3270.8</v>
      </c>
      <c r="K42" s="828">
        <f t="shared" si="6"/>
        <v>1.0902666666666667</v>
      </c>
      <c r="L42" s="865">
        <v>3000</v>
      </c>
      <c r="M42" s="830">
        <v>251.6</v>
      </c>
      <c r="N42" s="831">
        <f>M42/L42</f>
        <v>8.3866666666666659E-2</v>
      </c>
      <c r="O42" s="832">
        <v>629</v>
      </c>
      <c r="P42" s="833">
        <f t="shared" si="16"/>
        <v>0.20966666666666667</v>
      </c>
      <c r="Q42" s="834"/>
      <c r="R42" s="834"/>
      <c r="S42" s="864"/>
      <c r="T42" s="864"/>
      <c r="U42" s="866">
        <v>1509.6</v>
      </c>
      <c r="V42" s="867">
        <f t="shared" si="7"/>
        <v>0.50319999999999998</v>
      </c>
      <c r="W42" s="868">
        <v>2138.6</v>
      </c>
      <c r="X42" s="869">
        <f t="shared" si="8"/>
        <v>0.71286666666666665</v>
      </c>
      <c r="Y42" s="870">
        <v>1509.6</v>
      </c>
      <c r="Z42" s="838">
        <v>3150</v>
      </c>
      <c r="AA42" s="871">
        <v>754.8</v>
      </c>
      <c r="AB42" s="872">
        <f t="shared" si="9"/>
        <v>0.23961904761904759</v>
      </c>
      <c r="AC42" s="873">
        <v>2138.6</v>
      </c>
      <c r="AD42" s="874">
        <f t="shared" si="10"/>
        <v>0.67892063492063492</v>
      </c>
      <c r="AE42" s="875">
        <v>1509.6</v>
      </c>
      <c r="AF42" s="876">
        <f t="shared" si="11"/>
        <v>3648.2</v>
      </c>
      <c r="AG42" s="877">
        <f t="shared" si="12"/>
        <v>1.1581587301587302</v>
      </c>
      <c r="AH42" s="878">
        <v>3372.8</v>
      </c>
      <c r="AI42" s="877">
        <f t="shared" si="13"/>
        <v>1.0707301587301588</v>
      </c>
      <c r="AJ42" s="879">
        <v>3700</v>
      </c>
      <c r="AK42" s="880"/>
      <c r="AL42" s="805"/>
      <c r="AM42" s="806"/>
      <c r="AN42" s="882">
        <v>2077.5500000000002</v>
      </c>
      <c r="AO42" s="883">
        <v>2625.15</v>
      </c>
      <c r="AP42" s="884">
        <v>2762.05</v>
      </c>
      <c r="AQ42" s="885">
        <f>AO42/9*3</f>
        <v>875.05</v>
      </c>
      <c r="AR42" s="886">
        <f t="shared" si="14"/>
        <v>3500.2</v>
      </c>
      <c r="AS42" s="887">
        <f>AP42/AJ42</f>
        <v>0.74650000000000005</v>
      </c>
      <c r="AT42" s="882"/>
      <c r="AU42" s="888">
        <v>2597</v>
      </c>
      <c r="AV42" s="889" t="s">
        <v>217</v>
      </c>
      <c r="AW42" s="851">
        <v>1983.2</v>
      </c>
      <c r="AX42" s="849">
        <f>AW42/AU42</f>
        <v>0.76365036580670009</v>
      </c>
      <c r="AY42" s="850">
        <f>186.48*6</f>
        <v>1118.8799999999999</v>
      </c>
      <c r="AZ42" s="850">
        <f t="shared" si="15"/>
        <v>3102.08</v>
      </c>
      <c r="BA42" s="849">
        <f>AZ42/AU42</f>
        <v>1.1944859453215249</v>
      </c>
      <c r="BB42" s="839">
        <v>2386.5</v>
      </c>
      <c r="BC42" s="848" t="s">
        <v>252</v>
      </c>
      <c r="BD42" s="851">
        <v>1472.66</v>
      </c>
      <c r="BE42" s="851">
        <v>1987.45</v>
      </c>
      <c r="BF42" s="852">
        <f>BE42/BB42</f>
        <v>0.83278860255604448</v>
      </c>
      <c r="BG42" s="853">
        <v>3000</v>
      </c>
      <c r="BH42" s="851">
        <v>1066.18</v>
      </c>
      <c r="BI42" s="852">
        <f t="shared" si="18"/>
        <v>0.35539333333333334</v>
      </c>
      <c r="BJ42" s="854">
        <f>BH42/8*4</f>
        <v>533.09</v>
      </c>
      <c r="BK42" s="890">
        <f t="shared" si="1"/>
        <v>1599.27</v>
      </c>
      <c r="BL42" s="821"/>
      <c r="BM42" s="1295">
        <v>1938.23</v>
      </c>
      <c r="BN42" s="1303">
        <v>2500</v>
      </c>
      <c r="BO42" s="821" t="s">
        <v>374</v>
      </c>
      <c r="BP42" s="1256">
        <f>175*5</f>
        <v>875</v>
      </c>
      <c r="BQ42" s="1308">
        <f t="shared" si="19"/>
        <v>2253.1999999999998</v>
      </c>
      <c r="BR42" s="1313">
        <v>1378.2</v>
      </c>
      <c r="BS42" s="1315">
        <f t="shared" si="2"/>
        <v>0.55127999999999999</v>
      </c>
      <c r="BT42" s="1319">
        <v>4000</v>
      </c>
      <c r="BU42" s="1261" t="s">
        <v>1021</v>
      </c>
      <c r="BV42" s="1326">
        <f>'Natwest Expenses'!AC132</f>
        <v>1378.2</v>
      </c>
    </row>
    <row r="43" spans="1:82" x14ac:dyDescent="0.35">
      <c r="A43" s="180" t="s">
        <v>753</v>
      </c>
      <c r="B43" s="9">
        <v>1850</v>
      </c>
      <c r="C43" s="181">
        <v>466</v>
      </c>
      <c r="D43" s="822">
        <f t="shared" si="4"/>
        <v>0.25189189189189187</v>
      </c>
      <c r="E43" s="626">
        <v>1044.5</v>
      </c>
      <c r="F43" s="823">
        <f t="shared" si="5"/>
        <v>0.5645945945945946</v>
      </c>
      <c r="G43" s="892">
        <f>E43+E43*50/100</f>
        <v>1566.75</v>
      </c>
      <c r="H43" s="893">
        <v>1044.5</v>
      </c>
      <c r="I43" s="864">
        <v>2200</v>
      </c>
      <c r="J43" s="827">
        <v>1044.5</v>
      </c>
      <c r="K43" s="828">
        <f t="shared" si="6"/>
        <v>0.47477272727272729</v>
      </c>
      <c r="L43" s="865">
        <v>2200</v>
      </c>
      <c r="M43" s="830"/>
      <c r="N43" s="831"/>
      <c r="O43" s="832">
        <v>0</v>
      </c>
      <c r="P43" s="833">
        <f t="shared" si="16"/>
        <v>0</v>
      </c>
      <c r="Q43" s="834"/>
      <c r="R43" s="834"/>
      <c r="S43" s="864"/>
      <c r="T43" s="864"/>
      <c r="U43" s="866">
        <v>1732</v>
      </c>
      <c r="V43" s="867">
        <f t="shared" si="7"/>
        <v>0.78727272727272724</v>
      </c>
      <c r="W43" s="868">
        <v>1907</v>
      </c>
      <c r="X43" s="869">
        <f t="shared" si="8"/>
        <v>0.86681818181818182</v>
      </c>
      <c r="Y43" s="870" t="s">
        <v>122</v>
      </c>
      <c r="Z43" s="838">
        <v>2500</v>
      </c>
      <c r="AA43" s="871">
        <v>936</v>
      </c>
      <c r="AB43" s="872">
        <f t="shared" si="9"/>
        <v>0.37440000000000001</v>
      </c>
      <c r="AC43" s="873">
        <v>936</v>
      </c>
      <c r="AD43" s="874">
        <f t="shared" si="10"/>
        <v>0.37440000000000001</v>
      </c>
      <c r="AE43" s="875">
        <v>936</v>
      </c>
      <c r="AF43" s="876">
        <f t="shared" si="11"/>
        <v>1872</v>
      </c>
      <c r="AG43" s="877">
        <f t="shared" si="12"/>
        <v>0.74880000000000002</v>
      </c>
      <c r="AH43" s="878">
        <v>936</v>
      </c>
      <c r="AI43" s="877">
        <f t="shared" si="13"/>
        <v>0.37440000000000001</v>
      </c>
      <c r="AJ43" s="879">
        <v>1800</v>
      </c>
      <c r="AK43" s="880" t="s">
        <v>150</v>
      </c>
      <c r="AL43" s="805"/>
      <c r="AM43" s="806"/>
      <c r="AN43" s="882"/>
      <c r="AO43" s="883"/>
      <c r="AP43" s="884"/>
      <c r="AQ43" s="885"/>
      <c r="AR43" s="886">
        <f t="shared" si="14"/>
        <v>0</v>
      </c>
      <c r="AS43" s="887">
        <f>AP43/AJ43</f>
        <v>0</v>
      </c>
      <c r="AT43" s="882"/>
      <c r="AU43" s="888">
        <v>900</v>
      </c>
      <c r="AV43" s="889"/>
      <c r="AW43" s="851">
        <v>0</v>
      </c>
      <c r="AX43" s="849">
        <f>AW43/AU43</f>
        <v>0</v>
      </c>
      <c r="AY43" s="850">
        <v>300</v>
      </c>
      <c r="AZ43" s="850">
        <f t="shared" si="15"/>
        <v>300</v>
      </c>
      <c r="BA43" s="849">
        <f>AZ43/AU43</f>
        <v>0.33333333333333331</v>
      </c>
      <c r="BB43" s="839">
        <v>900</v>
      </c>
      <c r="BC43" s="848" t="s">
        <v>258</v>
      </c>
      <c r="BD43" s="851">
        <v>0</v>
      </c>
      <c r="BE43" s="851">
        <v>120.71</v>
      </c>
      <c r="BF43" s="852">
        <f>BE43/BB43</f>
        <v>0.13412222222222223</v>
      </c>
      <c r="BG43" s="853">
        <v>400</v>
      </c>
      <c r="BH43" s="851">
        <v>40</v>
      </c>
      <c r="BI43" s="852">
        <f t="shared" si="18"/>
        <v>0.1</v>
      </c>
      <c r="BJ43" s="854"/>
      <c r="BK43" s="890">
        <f t="shared" si="1"/>
        <v>40</v>
      </c>
      <c r="BL43" s="821"/>
      <c r="BM43" s="1295">
        <v>140.01</v>
      </c>
      <c r="BN43" s="1303">
        <v>200</v>
      </c>
      <c r="BO43" s="821"/>
      <c r="BP43" s="1256">
        <v>80</v>
      </c>
      <c r="BQ43" s="1308">
        <f t="shared" si="19"/>
        <v>322.62</v>
      </c>
      <c r="BR43" s="1313">
        <v>242.62</v>
      </c>
      <c r="BS43" s="1315">
        <f t="shared" si="2"/>
        <v>1.2131000000000001</v>
      </c>
      <c r="BT43" s="1319">
        <v>200</v>
      </c>
      <c r="BU43" s="1261" t="s">
        <v>1022</v>
      </c>
      <c r="BV43" s="1326">
        <f>'Natwest Expenses'!U132</f>
        <v>242.62</v>
      </c>
      <c r="BW43" s="620" t="s">
        <v>1150</v>
      </c>
    </row>
    <row r="44" spans="1:82" x14ac:dyDescent="0.35">
      <c r="A44" s="180" t="s">
        <v>35</v>
      </c>
      <c r="B44" s="9">
        <v>150</v>
      </c>
      <c r="C44" s="181">
        <v>130</v>
      </c>
      <c r="D44" s="822">
        <f t="shared" si="4"/>
        <v>0.8666666666666667</v>
      </c>
      <c r="E44" s="626">
        <v>130</v>
      </c>
      <c r="F44" s="823">
        <f t="shared" si="5"/>
        <v>0.8666666666666667</v>
      </c>
      <c r="G44" s="892">
        <f>E44</f>
        <v>130</v>
      </c>
      <c r="H44" s="893">
        <v>130</v>
      </c>
      <c r="I44" s="864">
        <v>150</v>
      </c>
      <c r="J44" s="827">
        <v>130</v>
      </c>
      <c r="K44" s="828">
        <f t="shared" si="6"/>
        <v>0.8666666666666667</v>
      </c>
      <c r="L44" s="865">
        <v>150</v>
      </c>
      <c r="M44" s="830">
        <v>130</v>
      </c>
      <c r="N44" s="831">
        <f>M44/L44</f>
        <v>0.8666666666666667</v>
      </c>
      <c r="O44" s="832">
        <v>130</v>
      </c>
      <c r="P44" s="833">
        <f t="shared" si="16"/>
        <v>0.8666666666666667</v>
      </c>
      <c r="Q44" s="834"/>
      <c r="R44" s="834"/>
      <c r="S44" s="864"/>
      <c r="T44" s="864"/>
      <c r="U44" s="866">
        <v>130</v>
      </c>
      <c r="V44" s="867">
        <f t="shared" si="7"/>
        <v>0.8666666666666667</v>
      </c>
      <c r="W44" s="868">
        <v>130</v>
      </c>
      <c r="X44" s="869">
        <f t="shared" si="8"/>
        <v>0.8666666666666667</v>
      </c>
      <c r="Y44" s="870"/>
      <c r="Z44" s="838">
        <v>136.5</v>
      </c>
      <c r="AA44" s="871"/>
      <c r="AB44" s="872">
        <f t="shared" si="9"/>
        <v>0</v>
      </c>
      <c r="AC44" s="873">
        <v>130</v>
      </c>
      <c r="AD44" s="874">
        <f t="shared" si="10"/>
        <v>0.95238095238095233</v>
      </c>
      <c r="AE44" s="875">
        <v>0</v>
      </c>
      <c r="AF44" s="876">
        <f t="shared" si="11"/>
        <v>130</v>
      </c>
      <c r="AG44" s="877">
        <f t="shared" si="12"/>
        <v>0.95238095238095233</v>
      </c>
      <c r="AH44" s="878">
        <v>130</v>
      </c>
      <c r="AI44" s="877">
        <f t="shared" si="13"/>
        <v>0.95238095238095233</v>
      </c>
      <c r="AJ44" s="879">
        <v>130</v>
      </c>
      <c r="AK44" s="880"/>
      <c r="AL44" s="805"/>
      <c r="AM44" s="806"/>
      <c r="AN44" s="882">
        <v>130</v>
      </c>
      <c r="AO44" s="883">
        <v>130</v>
      </c>
      <c r="AP44" s="884">
        <v>130</v>
      </c>
      <c r="AQ44" s="885">
        <v>0</v>
      </c>
      <c r="AR44" s="886">
        <f t="shared" si="14"/>
        <v>130</v>
      </c>
      <c r="AS44" s="887">
        <f>AP44/AJ44</f>
        <v>1</v>
      </c>
      <c r="AT44" s="882"/>
      <c r="AU44" s="888">
        <v>130</v>
      </c>
      <c r="AV44" s="889"/>
      <c r="AW44" s="851">
        <v>130</v>
      </c>
      <c r="AX44" s="849">
        <f>AW44/AU44</f>
        <v>1</v>
      </c>
      <c r="AY44" s="850">
        <v>0</v>
      </c>
      <c r="AZ44" s="850">
        <f t="shared" si="15"/>
        <v>130</v>
      </c>
      <c r="BA44" s="849">
        <f>AZ44/AU44</f>
        <v>1</v>
      </c>
      <c r="BB44" s="839">
        <v>130</v>
      </c>
      <c r="BC44" s="848" t="s">
        <v>233</v>
      </c>
      <c r="BD44" s="851">
        <v>140</v>
      </c>
      <c r="BE44" s="851">
        <v>390</v>
      </c>
      <c r="BF44" s="852">
        <f>BE44/BB44</f>
        <v>3</v>
      </c>
      <c r="BG44" s="853">
        <v>250</v>
      </c>
      <c r="BH44" s="851">
        <v>0</v>
      </c>
      <c r="BI44" s="852">
        <f t="shared" si="18"/>
        <v>0</v>
      </c>
      <c r="BJ44" s="854">
        <v>250</v>
      </c>
      <c r="BK44" s="890">
        <f t="shared" si="1"/>
        <v>250</v>
      </c>
      <c r="BL44" s="821" t="s">
        <v>364</v>
      </c>
      <c r="BM44" s="1296">
        <v>0</v>
      </c>
      <c r="BN44" s="1303">
        <v>250</v>
      </c>
      <c r="BO44" s="821"/>
      <c r="BP44" s="1256">
        <v>0</v>
      </c>
      <c r="BQ44" s="1308">
        <f t="shared" si="19"/>
        <v>165</v>
      </c>
      <c r="BR44" s="1313">
        <v>165</v>
      </c>
      <c r="BS44" s="1315">
        <f t="shared" si="2"/>
        <v>0.66</v>
      </c>
      <c r="BT44" s="1319">
        <v>180</v>
      </c>
      <c r="BU44" s="1261" t="s">
        <v>1023</v>
      </c>
      <c r="BV44" s="1326">
        <f>'Natwest Expenses'!Y24</f>
        <v>165</v>
      </c>
    </row>
    <row r="45" spans="1:82" x14ac:dyDescent="0.35">
      <c r="A45" s="180" t="s">
        <v>36</v>
      </c>
      <c r="B45" s="9">
        <v>250</v>
      </c>
      <c r="C45" s="181"/>
      <c r="D45" s="822">
        <f t="shared" si="4"/>
        <v>0</v>
      </c>
      <c r="E45" s="626">
        <v>200</v>
      </c>
      <c r="F45" s="823">
        <f t="shared" si="5"/>
        <v>0.8</v>
      </c>
      <c r="G45" s="892">
        <f>E45</f>
        <v>200</v>
      </c>
      <c r="H45" s="893">
        <v>200</v>
      </c>
      <c r="I45" s="864">
        <v>250</v>
      </c>
      <c r="J45" s="827">
        <v>200</v>
      </c>
      <c r="K45" s="828">
        <f t="shared" si="6"/>
        <v>0.8</v>
      </c>
      <c r="L45" s="865">
        <v>250</v>
      </c>
      <c r="M45" s="830"/>
      <c r="N45" s="831"/>
      <c r="O45" s="832">
        <v>0</v>
      </c>
      <c r="P45" s="833">
        <f t="shared" si="16"/>
        <v>0</v>
      </c>
      <c r="Q45" s="834"/>
      <c r="R45" s="834"/>
      <c r="S45" s="864"/>
      <c r="T45" s="864"/>
      <c r="U45" s="866">
        <v>300</v>
      </c>
      <c r="V45" s="867">
        <f t="shared" si="7"/>
        <v>1.2</v>
      </c>
      <c r="W45" s="868">
        <v>300</v>
      </c>
      <c r="X45" s="869">
        <f t="shared" si="8"/>
        <v>1.2</v>
      </c>
      <c r="Y45" s="870"/>
      <c r="Z45" s="838">
        <v>315</v>
      </c>
      <c r="AA45" s="871"/>
      <c r="AB45" s="872">
        <f t="shared" si="9"/>
        <v>0</v>
      </c>
      <c r="AC45" s="873">
        <v>200</v>
      </c>
      <c r="AD45" s="874">
        <f t="shared" si="10"/>
        <v>0.63492063492063489</v>
      </c>
      <c r="AE45" s="875">
        <v>0</v>
      </c>
      <c r="AF45" s="876">
        <f t="shared" si="11"/>
        <v>200</v>
      </c>
      <c r="AG45" s="877">
        <f t="shared" si="12"/>
        <v>0.63492063492063489</v>
      </c>
      <c r="AH45" s="878">
        <v>200</v>
      </c>
      <c r="AI45" s="877">
        <f t="shared" si="13"/>
        <v>0.63492063492063489</v>
      </c>
      <c r="AJ45" s="879">
        <v>200</v>
      </c>
      <c r="AK45" s="880"/>
      <c r="AL45" s="805"/>
      <c r="AM45" s="806"/>
      <c r="AN45" s="882">
        <v>200</v>
      </c>
      <c r="AO45" s="883">
        <v>200</v>
      </c>
      <c r="AP45" s="884">
        <v>200</v>
      </c>
      <c r="AQ45" s="885">
        <v>0</v>
      </c>
      <c r="AR45" s="886">
        <f t="shared" si="14"/>
        <v>200</v>
      </c>
      <c r="AS45" s="887">
        <f>AP45/AJ45</f>
        <v>1</v>
      </c>
      <c r="AT45" s="882"/>
      <c r="AU45" s="888">
        <v>200</v>
      </c>
      <c r="AV45" s="889"/>
      <c r="AW45" s="851">
        <v>200</v>
      </c>
      <c r="AX45" s="849">
        <f>AW45/AU45</f>
        <v>1</v>
      </c>
      <c r="AY45" s="850">
        <v>0</v>
      </c>
      <c r="AZ45" s="850">
        <f t="shared" si="15"/>
        <v>200</v>
      </c>
      <c r="BA45" s="849">
        <f>AZ45/AU45</f>
        <v>1</v>
      </c>
      <c r="BB45" s="839">
        <v>200</v>
      </c>
      <c r="BC45" s="848" t="s">
        <v>233</v>
      </c>
      <c r="BD45" s="851">
        <v>200</v>
      </c>
      <c r="BE45" s="851">
        <v>200</v>
      </c>
      <c r="BF45" s="852">
        <f>BE45/BB45</f>
        <v>1</v>
      </c>
      <c r="BG45" s="853">
        <v>200</v>
      </c>
      <c r="BH45" s="851">
        <v>315</v>
      </c>
      <c r="BI45" s="852">
        <f t="shared" si="18"/>
        <v>1.575</v>
      </c>
      <c r="BJ45" s="854">
        <v>0</v>
      </c>
      <c r="BK45" s="890">
        <f t="shared" si="1"/>
        <v>315</v>
      </c>
      <c r="BL45" s="821"/>
      <c r="BM45" s="1295">
        <v>315</v>
      </c>
      <c r="BN45" s="1303">
        <v>315</v>
      </c>
      <c r="BO45" s="821" t="s">
        <v>375</v>
      </c>
      <c r="BP45" s="1256">
        <v>0</v>
      </c>
      <c r="BQ45" s="1308">
        <f t="shared" si="19"/>
        <v>315</v>
      </c>
      <c r="BR45" s="1313">
        <v>315</v>
      </c>
      <c r="BS45" s="1315">
        <f t="shared" si="2"/>
        <v>1</v>
      </c>
      <c r="BT45" s="1319">
        <v>500</v>
      </c>
      <c r="BU45" s="1261" t="s">
        <v>1023</v>
      </c>
      <c r="BV45" s="1326">
        <f>'Natwest Expenses'!Y97</f>
        <v>315</v>
      </c>
    </row>
    <row r="46" spans="1:82" x14ac:dyDescent="0.35">
      <c r="A46" s="180" t="s">
        <v>37</v>
      </c>
      <c r="B46" s="9">
        <v>0</v>
      </c>
      <c r="C46" s="181"/>
      <c r="D46" s="822"/>
      <c r="E46" s="626"/>
      <c r="F46" s="823"/>
      <c r="G46" s="892"/>
      <c r="H46" s="893"/>
      <c r="I46" s="864"/>
      <c r="J46" s="827"/>
      <c r="K46" s="828"/>
      <c r="L46" s="865"/>
      <c r="M46" s="830"/>
      <c r="N46" s="831"/>
      <c r="O46" s="832">
        <v>301.18</v>
      </c>
      <c r="P46" s="833"/>
      <c r="Q46" s="834"/>
      <c r="R46" s="834"/>
      <c r="S46" s="864"/>
      <c r="T46" s="864"/>
      <c r="U46" s="866">
        <v>301.18</v>
      </c>
      <c r="V46" s="867"/>
      <c r="W46" s="868">
        <v>301.18</v>
      </c>
      <c r="X46" s="869"/>
      <c r="Y46" s="870"/>
      <c r="Z46" s="838">
        <v>316.23</v>
      </c>
      <c r="AA46" s="871">
        <v>299.86</v>
      </c>
      <c r="AB46" s="872">
        <f t="shared" si="9"/>
        <v>0.94823388040350376</v>
      </c>
      <c r="AC46" s="873">
        <v>299.86</v>
      </c>
      <c r="AD46" s="874">
        <f t="shared" si="10"/>
        <v>0.94823388040350376</v>
      </c>
      <c r="AE46" s="875">
        <v>0</v>
      </c>
      <c r="AF46" s="876">
        <f t="shared" si="11"/>
        <v>299.86</v>
      </c>
      <c r="AG46" s="877">
        <f t="shared" si="12"/>
        <v>0.94823388040350376</v>
      </c>
      <c r="AH46" s="878">
        <v>299.86</v>
      </c>
      <c r="AI46" s="877">
        <f t="shared" si="13"/>
        <v>0.94823388040350376</v>
      </c>
      <c r="AJ46" s="879">
        <v>300</v>
      </c>
      <c r="AK46" s="880"/>
      <c r="AL46" s="805"/>
      <c r="AM46" s="806"/>
      <c r="AN46" s="882"/>
      <c r="AO46" s="883"/>
      <c r="AP46" s="884">
        <v>309.35000000000002</v>
      </c>
      <c r="AQ46" s="885">
        <v>309.35000000000002</v>
      </c>
      <c r="AR46" s="886">
        <f t="shared" si="14"/>
        <v>309.35000000000002</v>
      </c>
      <c r="AS46" s="887">
        <f>AP46/AJ46</f>
        <v>1.0311666666666668</v>
      </c>
      <c r="AT46" s="882"/>
      <c r="AU46" s="888">
        <v>320</v>
      </c>
      <c r="AV46" s="889"/>
      <c r="AW46" s="851">
        <v>317.38</v>
      </c>
      <c r="AX46" s="849">
        <f>AW46/AU46</f>
        <v>0.99181249999999999</v>
      </c>
      <c r="AY46" s="850">
        <v>0</v>
      </c>
      <c r="AZ46" s="850">
        <f t="shared" si="15"/>
        <v>317.38</v>
      </c>
      <c r="BA46" s="849">
        <f>AZ46/AU46</f>
        <v>0.99181249999999999</v>
      </c>
      <c r="BB46" s="839">
        <v>320</v>
      </c>
      <c r="BC46" s="848" t="s">
        <v>233</v>
      </c>
      <c r="BD46" s="851">
        <v>313.16000000000003</v>
      </c>
      <c r="BE46" s="851">
        <v>313.16000000000003</v>
      </c>
      <c r="BF46" s="852">
        <f>BE46/BB46</f>
        <v>0.97862500000000008</v>
      </c>
      <c r="BG46" s="853">
        <v>360.13</v>
      </c>
      <c r="BH46" s="851">
        <v>333.02</v>
      </c>
      <c r="BI46" s="852">
        <f t="shared" si="18"/>
        <v>0.92472162830089133</v>
      </c>
      <c r="BJ46" s="854">
        <v>0</v>
      </c>
      <c r="BK46" s="890">
        <f t="shared" si="1"/>
        <v>333.02</v>
      </c>
      <c r="BL46" s="821"/>
      <c r="BM46" s="1295">
        <v>333.02</v>
      </c>
      <c r="BN46" s="1303">
        <v>340</v>
      </c>
      <c r="BO46" s="821"/>
      <c r="BP46" s="1256">
        <v>0</v>
      </c>
      <c r="BQ46" s="1308">
        <f t="shared" si="19"/>
        <v>361.5</v>
      </c>
      <c r="BR46" s="1313">
        <v>361.5</v>
      </c>
      <c r="BS46" s="1315">
        <f t="shared" si="2"/>
        <v>1.0632352941176471</v>
      </c>
      <c r="BT46" s="1319">
        <v>385</v>
      </c>
      <c r="BV46" s="1326">
        <f>'Natwest Expenses'!R132</f>
        <v>361.5</v>
      </c>
    </row>
    <row r="47" spans="1:82" hidden="1" x14ac:dyDescent="0.35">
      <c r="A47" s="895" t="s">
        <v>38</v>
      </c>
      <c r="B47" s="342">
        <v>0</v>
      </c>
      <c r="C47" s="343"/>
      <c r="D47" s="896"/>
      <c r="E47" s="897"/>
      <c r="F47" s="898"/>
      <c r="G47" s="899"/>
      <c r="H47" s="900"/>
      <c r="I47" s="901"/>
      <c r="J47" s="902"/>
      <c r="K47" s="903"/>
      <c r="L47" s="865"/>
      <c r="M47" s="904"/>
      <c r="N47" s="905"/>
      <c r="O47" s="906"/>
      <c r="P47" s="907"/>
      <c r="Q47" s="908"/>
      <c r="R47" s="908"/>
      <c r="S47" s="901"/>
      <c r="T47" s="901"/>
      <c r="U47" s="909"/>
      <c r="V47" s="910"/>
      <c r="W47" s="911">
        <v>0</v>
      </c>
      <c r="X47" s="912"/>
      <c r="Y47" s="913"/>
      <c r="Z47" s="914"/>
      <c r="AA47" s="915"/>
      <c r="AB47" s="916"/>
      <c r="AC47" s="917"/>
      <c r="AD47" s="918"/>
      <c r="AE47" s="919">
        <v>0</v>
      </c>
      <c r="AF47" s="920">
        <f t="shared" si="11"/>
        <v>0</v>
      </c>
      <c r="AG47" s="921"/>
      <c r="AH47" s="922"/>
      <c r="AI47" s="921"/>
      <c r="AJ47" s="923"/>
      <c r="AK47" s="924"/>
      <c r="AL47" s="925"/>
      <c r="AM47" s="926"/>
      <c r="AN47" s="927"/>
      <c r="AO47" s="928"/>
      <c r="AP47" s="929"/>
      <c r="AQ47" s="930"/>
      <c r="AR47" s="931">
        <f t="shared" si="14"/>
        <v>0</v>
      </c>
      <c r="AS47" s="932"/>
      <c r="AT47" s="927"/>
      <c r="AU47" s="923"/>
      <c r="AV47" s="933" t="s">
        <v>213</v>
      </c>
      <c r="AW47" s="934"/>
      <c r="AX47" s="935"/>
      <c r="AY47" s="936"/>
      <c r="AZ47" s="936">
        <f t="shared" si="15"/>
        <v>0</v>
      </c>
      <c r="BA47" s="935"/>
      <c r="BB47" s="945"/>
      <c r="BC47" s="848"/>
      <c r="BD47" s="851"/>
      <c r="BE47" s="851"/>
      <c r="BF47" s="852"/>
      <c r="BG47" s="853"/>
      <c r="BH47" s="851"/>
      <c r="BI47" s="852" t="e">
        <f t="shared" si="18"/>
        <v>#DIV/0!</v>
      </c>
      <c r="BJ47" s="854"/>
      <c r="BK47" s="890">
        <f t="shared" si="1"/>
        <v>0</v>
      </c>
      <c r="BL47" s="821"/>
      <c r="BM47" s="1296"/>
      <c r="BN47" s="1303"/>
      <c r="BO47" s="821"/>
      <c r="BP47" s="1256"/>
      <c r="BQ47" s="1308">
        <f t="shared" si="19"/>
        <v>0</v>
      </c>
      <c r="BR47" s="1313"/>
      <c r="BS47" s="1315" t="e">
        <f t="shared" si="2"/>
        <v>#DIV/0!</v>
      </c>
      <c r="BT47" s="1319"/>
      <c r="BV47" s="1326"/>
    </row>
    <row r="48" spans="1:82" hidden="1" x14ac:dyDescent="0.35">
      <c r="A48" s="895" t="s">
        <v>39</v>
      </c>
      <c r="B48" s="342">
        <v>800</v>
      </c>
      <c r="C48" s="343">
        <v>500</v>
      </c>
      <c r="D48" s="896">
        <f t="shared" si="4"/>
        <v>0.625</v>
      </c>
      <c r="E48" s="897">
        <v>500</v>
      </c>
      <c r="F48" s="898">
        <f t="shared" si="5"/>
        <v>0.625</v>
      </c>
      <c r="G48" s="899">
        <f>E48</f>
        <v>500</v>
      </c>
      <c r="H48" s="900">
        <v>500</v>
      </c>
      <c r="I48" s="901">
        <v>0</v>
      </c>
      <c r="J48" s="902">
        <v>500</v>
      </c>
      <c r="K48" s="903">
        <f>J48/H48</f>
        <v>1</v>
      </c>
      <c r="L48" s="865">
        <v>0</v>
      </c>
      <c r="M48" s="904"/>
      <c r="N48" s="905"/>
      <c r="O48" s="906">
        <v>0</v>
      </c>
      <c r="P48" s="907"/>
      <c r="Q48" s="908"/>
      <c r="R48" s="908"/>
      <c r="S48" s="901"/>
      <c r="T48" s="901"/>
      <c r="U48" s="909"/>
      <c r="V48" s="910"/>
      <c r="W48" s="911">
        <v>0</v>
      </c>
      <c r="X48" s="912"/>
      <c r="Y48" s="913"/>
      <c r="Z48" s="914"/>
      <c r="AA48" s="915"/>
      <c r="AB48" s="916"/>
      <c r="AC48" s="917"/>
      <c r="AD48" s="918"/>
      <c r="AE48" s="919">
        <v>0</v>
      </c>
      <c r="AF48" s="920">
        <f t="shared" si="11"/>
        <v>0</v>
      </c>
      <c r="AG48" s="921"/>
      <c r="AH48" s="922">
        <v>0</v>
      </c>
      <c r="AI48" s="921"/>
      <c r="AJ48" s="923"/>
      <c r="AK48" s="924"/>
      <c r="AL48" s="925"/>
      <c r="AM48" s="926"/>
      <c r="AN48" s="927"/>
      <c r="AO48" s="928"/>
      <c r="AP48" s="929"/>
      <c r="AQ48" s="930"/>
      <c r="AR48" s="931">
        <f t="shared" si="14"/>
        <v>0</v>
      </c>
      <c r="AS48" s="932"/>
      <c r="AT48" s="927"/>
      <c r="AU48" s="923"/>
      <c r="AV48" s="933"/>
      <c r="AW48" s="934"/>
      <c r="AX48" s="935"/>
      <c r="AY48" s="936"/>
      <c r="AZ48" s="936">
        <f t="shared" si="15"/>
        <v>0</v>
      </c>
      <c r="BA48" s="935"/>
      <c r="BB48" s="945"/>
      <c r="BC48" s="848"/>
      <c r="BD48" s="851"/>
      <c r="BE48" s="851"/>
      <c r="BF48" s="852"/>
      <c r="BG48" s="853"/>
      <c r="BH48" s="851"/>
      <c r="BI48" s="852" t="e">
        <f t="shared" si="18"/>
        <v>#DIV/0!</v>
      </c>
      <c r="BJ48" s="854"/>
      <c r="BK48" s="890">
        <f t="shared" si="1"/>
        <v>0</v>
      </c>
      <c r="BL48" s="821"/>
      <c r="BM48" s="1296"/>
      <c r="BN48" s="1303"/>
      <c r="BO48" s="821"/>
      <c r="BP48" s="1256"/>
      <c r="BQ48" s="1308">
        <f t="shared" si="19"/>
        <v>0</v>
      </c>
      <c r="BR48" s="1313"/>
      <c r="BS48" s="1315" t="e">
        <f t="shared" si="2"/>
        <v>#DIV/0!</v>
      </c>
      <c r="BT48" s="1319"/>
      <c r="BV48" s="1326"/>
    </row>
    <row r="49" spans="1:81" hidden="1" x14ac:dyDescent="0.35">
      <c r="A49" s="895" t="s">
        <v>40</v>
      </c>
      <c r="B49" s="342">
        <v>1100</v>
      </c>
      <c r="C49" s="343">
        <v>1100</v>
      </c>
      <c r="D49" s="896">
        <f t="shared" si="4"/>
        <v>1</v>
      </c>
      <c r="E49" s="897">
        <v>1100</v>
      </c>
      <c r="F49" s="898">
        <f t="shared" si="5"/>
        <v>1</v>
      </c>
      <c r="G49" s="899">
        <f>E49</f>
        <v>1100</v>
      </c>
      <c r="H49" s="900">
        <v>1100</v>
      </c>
      <c r="I49" s="901">
        <v>1100</v>
      </c>
      <c r="J49" s="902">
        <v>1100</v>
      </c>
      <c r="K49" s="903">
        <f t="shared" si="6"/>
        <v>1</v>
      </c>
      <c r="L49" s="865">
        <v>1100</v>
      </c>
      <c r="M49" s="904"/>
      <c r="N49" s="905"/>
      <c r="O49" s="906">
        <v>1100</v>
      </c>
      <c r="P49" s="907">
        <f t="shared" si="16"/>
        <v>1</v>
      </c>
      <c r="Q49" s="908"/>
      <c r="R49" s="908"/>
      <c r="S49" s="901"/>
      <c r="T49" s="901"/>
      <c r="U49" s="909">
        <v>1100</v>
      </c>
      <c r="V49" s="910">
        <f t="shared" si="7"/>
        <v>1</v>
      </c>
      <c r="W49" s="911">
        <v>1100</v>
      </c>
      <c r="X49" s="912">
        <f t="shared" si="8"/>
        <v>1</v>
      </c>
      <c r="Y49" s="913"/>
      <c r="Z49" s="914">
        <v>1100</v>
      </c>
      <c r="AA49" s="915"/>
      <c r="AB49" s="916">
        <f t="shared" si="9"/>
        <v>0</v>
      </c>
      <c r="AC49" s="917">
        <v>1100</v>
      </c>
      <c r="AD49" s="918">
        <f t="shared" si="10"/>
        <v>1</v>
      </c>
      <c r="AE49" s="919">
        <v>0</v>
      </c>
      <c r="AF49" s="920">
        <f t="shared" si="11"/>
        <v>1100</v>
      </c>
      <c r="AG49" s="921">
        <f t="shared" si="12"/>
        <v>1</v>
      </c>
      <c r="AH49" s="922">
        <v>1100</v>
      </c>
      <c r="AI49" s="921">
        <f t="shared" si="13"/>
        <v>1</v>
      </c>
      <c r="AJ49" s="923">
        <v>1100</v>
      </c>
      <c r="AK49" s="924"/>
      <c r="AL49" s="925"/>
      <c r="AM49" s="926"/>
      <c r="AN49" s="927"/>
      <c r="AO49" s="928"/>
      <c r="AP49" s="929"/>
      <c r="AQ49" s="930"/>
      <c r="AR49" s="931">
        <f t="shared" si="14"/>
        <v>0</v>
      </c>
      <c r="AS49" s="932">
        <f>AP49/AJ49</f>
        <v>0</v>
      </c>
      <c r="AT49" s="927"/>
      <c r="AU49" s="923"/>
      <c r="AV49" s="933" t="s">
        <v>214</v>
      </c>
      <c r="AW49" s="934"/>
      <c r="AX49" s="935"/>
      <c r="AY49" s="936"/>
      <c r="AZ49" s="936">
        <f t="shared" si="15"/>
        <v>0</v>
      </c>
      <c r="BA49" s="935"/>
      <c r="BB49" s="945"/>
      <c r="BC49" s="848"/>
      <c r="BD49" s="851"/>
      <c r="BE49" s="851"/>
      <c r="BF49" s="852"/>
      <c r="BG49" s="853"/>
      <c r="BH49" s="851"/>
      <c r="BI49" s="852" t="e">
        <f t="shared" si="18"/>
        <v>#DIV/0!</v>
      </c>
      <c r="BJ49" s="854"/>
      <c r="BK49" s="890">
        <f t="shared" si="1"/>
        <v>0</v>
      </c>
      <c r="BL49" s="821"/>
      <c r="BM49" s="1296"/>
      <c r="BN49" s="1303"/>
      <c r="BO49" s="821"/>
      <c r="BP49" s="1256"/>
      <c r="BQ49" s="1308">
        <f t="shared" si="19"/>
        <v>0</v>
      </c>
      <c r="BR49" s="1313"/>
      <c r="BS49" s="1315" t="e">
        <f t="shared" si="2"/>
        <v>#DIV/0!</v>
      </c>
      <c r="BT49" s="1319"/>
      <c r="BV49" s="1326"/>
    </row>
    <row r="50" spans="1:81" x14ac:dyDescent="0.35">
      <c r="A50" s="895" t="s">
        <v>801</v>
      </c>
      <c r="B50" s="342"/>
      <c r="C50" s="343"/>
      <c r="D50" s="896"/>
      <c r="E50" s="897"/>
      <c r="F50" s="898"/>
      <c r="G50" s="899"/>
      <c r="H50" s="900"/>
      <c r="I50" s="901"/>
      <c r="J50" s="902"/>
      <c r="K50" s="903"/>
      <c r="L50" s="865"/>
      <c r="M50" s="904"/>
      <c r="N50" s="905"/>
      <c r="O50" s="906"/>
      <c r="P50" s="907"/>
      <c r="Q50" s="908"/>
      <c r="R50" s="908"/>
      <c r="S50" s="901"/>
      <c r="T50" s="901"/>
      <c r="U50" s="909"/>
      <c r="V50" s="910"/>
      <c r="W50" s="911"/>
      <c r="X50" s="912"/>
      <c r="Y50" s="913"/>
      <c r="Z50" s="914"/>
      <c r="AA50" s="915"/>
      <c r="AB50" s="916"/>
      <c r="AC50" s="917"/>
      <c r="AD50" s="918"/>
      <c r="AE50" s="919"/>
      <c r="AF50" s="920"/>
      <c r="AG50" s="921"/>
      <c r="AH50" s="922"/>
      <c r="AI50" s="921"/>
      <c r="AJ50" s="923"/>
      <c r="AK50" s="924"/>
      <c r="AL50" s="925"/>
      <c r="AM50" s="926"/>
      <c r="AN50" s="927"/>
      <c r="AO50" s="928"/>
      <c r="AP50" s="929"/>
      <c r="AQ50" s="930"/>
      <c r="AR50" s="931"/>
      <c r="AS50" s="932"/>
      <c r="AT50" s="927"/>
      <c r="AU50" s="923"/>
      <c r="AV50" s="933"/>
      <c r="AW50" s="934"/>
      <c r="AX50" s="935"/>
      <c r="AY50" s="936"/>
      <c r="AZ50" s="936"/>
      <c r="BA50" s="935"/>
      <c r="BB50" s="945"/>
      <c r="BC50" s="848"/>
      <c r="BD50" s="851"/>
      <c r="BE50" s="851"/>
      <c r="BF50" s="852"/>
      <c r="BG50" s="853"/>
      <c r="BH50" s="851"/>
      <c r="BI50" s="852"/>
      <c r="BJ50" s="854"/>
      <c r="BK50" s="890"/>
      <c r="BL50" s="821"/>
      <c r="BM50" s="1296"/>
      <c r="BN50" s="1303"/>
      <c r="BO50" s="821"/>
      <c r="BP50" s="1256"/>
      <c r="BQ50" s="1308"/>
      <c r="BR50" s="1313">
        <v>140.4</v>
      </c>
      <c r="BS50" s="1315"/>
      <c r="BT50" s="1319"/>
      <c r="BV50" s="1326">
        <f>'Natwest Expenses'!S132</f>
        <v>140.4</v>
      </c>
    </row>
    <row r="51" spans="1:81" x14ac:dyDescent="0.35">
      <c r="A51" s="180" t="s">
        <v>41</v>
      </c>
      <c r="B51" s="9">
        <v>0</v>
      </c>
      <c r="C51" s="181"/>
      <c r="D51" s="822"/>
      <c r="E51" s="626"/>
      <c r="F51" s="823"/>
      <c r="G51" s="892"/>
      <c r="H51" s="893"/>
      <c r="I51" s="864">
        <v>0</v>
      </c>
      <c r="J51" s="827"/>
      <c r="K51" s="828"/>
      <c r="L51" s="865">
        <v>0</v>
      </c>
      <c r="M51" s="830"/>
      <c r="N51" s="831"/>
      <c r="O51" s="832"/>
      <c r="P51" s="833"/>
      <c r="Q51" s="834"/>
      <c r="R51" s="834"/>
      <c r="S51" s="864"/>
      <c r="T51" s="864"/>
      <c r="U51" s="866"/>
      <c r="V51" s="867"/>
      <c r="W51" s="868">
        <v>0</v>
      </c>
      <c r="X51" s="869"/>
      <c r="Y51" s="870"/>
      <c r="Z51" s="838"/>
      <c r="AA51" s="871"/>
      <c r="AB51" s="872"/>
      <c r="AC51" s="873"/>
      <c r="AD51" s="874"/>
      <c r="AE51" s="875">
        <v>0</v>
      </c>
      <c r="AF51" s="876">
        <f t="shared" si="11"/>
        <v>0</v>
      </c>
      <c r="AG51" s="877"/>
      <c r="AH51" s="878">
        <v>0</v>
      </c>
      <c r="AI51" s="877"/>
      <c r="AJ51" s="879">
        <v>10000</v>
      </c>
      <c r="AK51" s="880" t="s">
        <v>154</v>
      </c>
      <c r="AL51" s="881">
        <v>800</v>
      </c>
      <c r="AM51" s="806"/>
      <c r="AN51" s="882">
        <v>9446.8700000000008</v>
      </c>
      <c r="AO51" s="883">
        <v>10211.879999999999</v>
      </c>
      <c r="AP51" s="884">
        <v>10676.82</v>
      </c>
      <c r="AQ51" s="885">
        <v>400</v>
      </c>
      <c r="AR51" s="886">
        <f t="shared" si="14"/>
        <v>10611.88</v>
      </c>
      <c r="AS51" s="887">
        <f>AP51/AJ51</f>
        <v>1.067682</v>
      </c>
      <c r="AT51" s="882" t="s">
        <v>203</v>
      </c>
      <c r="AU51" s="888">
        <v>10000</v>
      </c>
      <c r="AV51" s="889" t="s">
        <v>208</v>
      </c>
      <c r="AW51" s="851">
        <v>6868.13</v>
      </c>
      <c r="AX51" s="849">
        <f>AW51/AU51</f>
        <v>0.68681300000000001</v>
      </c>
      <c r="AY51" s="850">
        <v>1900</v>
      </c>
      <c r="AZ51" s="850">
        <f t="shared" si="15"/>
        <v>8768.130000000001</v>
      </c>
      <c r="BA51" s="849">
        <f>AZ51/AU51</f>
        <v>0.87681300000000006</v>
      </c>
      <c r="BB51" s="839">
        <v>10000</v>
      </c>
      <c r="BC51" s="848" t="s">
        <v>257</v>
      </c>
      <c r="BD51" s="851">
        <v>1954.91</v>
      </c>
      <c r="BE51" s="851">
        <v>3476</v>
      </c>
      <c r="BF51" s="852">
        <f>BE51/BB51</f>
        <v>0.34760000000000002</v>
      </c>
      <c r="BG51" s="853">
        <v>7000</v>
      </c>
      <c r="BH51" s="851">
        <v>2942.35</v>
      </c>
      <c r="BI51" s="852">
        <f t="shared" si="18"/>
        <v>0.42033571428571426</v>
      </c>
      <c r="BJ51" s="854">
        <f>BH51/8*4</f>
        <v>1471.175</v>
      </c>
      <c r="BK51" s="890">
        <f t="shared" si="1"/>
        <v>4413.5249999999996</v>
      </c>
      <c r="BL51" s="821"/>
      <c r="BM51" s="1295">
        <v>2759.23</v>
      </c>
      <c r="BN51" s="1303">
        <v>3500</v>
      </c>
      <c r="BO51" s="821"/>
      <c r="BP51" s="1256">
        <f>(BV51/8*4)+290</f>
        <v>1264.5899999999999</v>
      </c>
      <c r="BQ51" s="1308">
        <f t="shared" ref="BQ51:BQ65" si="20">BV51+BP51</f>
        <v>3213.7699999999995</v>
      </c>
      <c r="BR51" s="1313">
        <v>1949.18</v>
      </c>
      <c r="BS51" s="1315">
        <f t="shared" si="2"/>
        <v>0.55690857142857142</v>
      </c>
      <c r="BT51" s="1319">
        <v>3500</v>
      </c>
      <c r="BU51" s="1261" t="s">
        <v>1018</v>
      </c>
      <c r="BV51" s="1326">
        <f>'Natwest Expenses'!AJ132+'Natwest Expenses'!AI132+'Natwest Expenses'!AH132+'Natwest Expenses'!AG132+'Natwest Expenses'!AF132+'Natwest Expenses'!AE132</f>
        <v>1949.1799999999998</v>
      </c>
      <c r="BX51" s="620" t="s">
        <v>1046</v>
      </c>
    </row>
    <row r="52" spans="1:81" x14ac:dyDescent="0.35">
      <c r="A52" s="180" t="s">
        <v>42</v>
      </c>
      <c r="B52" s="9">
        <v>400</v>
      </c>
      <c r="C52" s="181">
        <v>274.12</v>
      </c>
      <c r="D52" s="822">
        <f t="shared" si="4"/>
        <v>0.68530000000000002</v>
      </c>
      <c r="E52" s="626">
        <v>274.12</v>
      </c>
      <c r="F52" s="823">
        <f t="shared" si="5"/>
        <v>0.68530000000000002</v>
      </c>
      <c r="G52" s="892">
        <f>E52</f>
        <v>274.12</v>
      </c>
      <c r="H52" s="893">
        <v>274.12</v>
      </c>
      <c r="I52" s="864">
        <v>400</v>
      </c>
      <c r="J52" s="827">
        <v>274.12</v>
      </c>
      <c r="K52" s="828"/>
      <c r="L52" s="865">
        <v>400</v>
      </c>
      <c r="M52" s="830">
        <v>50</v>
      </c>
      <c r="N52" s="831">
        <f>M52/L52</f>
        <v>0.125</v>
      </c>
      <c r="O52" s="832">
        <v>50</v>
      </c>
      <c r="P52" s="833">
        <f t="shared" si="16"/>
        <v>0.125</v>
      </c>
      <c r="Q52" s="834" t="s">
        <v>117</v>
      </c>
      <c r="R52" s="834"/>
      <c r="S52" s="864"/>
      <c r="T52" s="864"/>
      <c r="U52" s="866">
        <v>50</v>
      </c>
      <c r="V52" s="867">
        <f t="shared" si="7"/>
        <v>0.125</v>
      </c>
      <c r="W52" s="868">
        <v>50</v>
      </c>
      <c r="X52" s="869">
        <f t="shared" si="8"/>
        <v>0.125</v>
      </c>
      <c r="Y52" s="870"/>
      <c r="Z52" s="838">
        <v>400</v>
      </c>
      <c r="AA52" s="871"/>
      <c r="AB52" s="872">
        <f t="shared" si="9"/>
        <v>0</v>
      </c>
      <c r="AC52" s="873"/>
      <c r="AD52" s="874">
        <f t="shared" si="10"/>
        <v>0</v>
      </c>
      <c r="AE52" s="875">
        <v>0</v>
      </c>
      <c r="AF52" s="876">
        <f t="shared" si="11"/>
        <v>0</v>
      </c>
      <c r="AG52" s="877">
        <f t="shared" si="12"/>
        <v>0</v>
      </c>
      <c r="AH52" s="878">
        <v>2484.8000000000002</v>
      </c>
      <c r="AI52" s="877">
        <f t="shared" si="13"/>
        <v>6.2120000000000006</v>
      </c>
      <c r="AJ52" s="879">
        <v>1000</v>
      </c>
      <c r="AK52" s="880"/>
      <c r="AL52" s="805"/>
      <c r="AM52" s="806"/>
      <c r="AN52" s="882"/>
      <c r="AO52" s="883"/>
      <c r="AP52" s="884">
        <v>20</v>
      </c>
      <c r="AQ52" s="885"/>
      <c r="AR52" s="886">
        <f t="shared" si="14"/>
        <v>0</v>
      </c>
      <c r="AS52" s="887">
        <f>AP52/AJ52</f>
        <v>0.02</v>
      </c>
      <c r="AT52" s="882"/>
      <c r="AU52" s="888">
        <v>1000</v>
      </c>
      <c r="AV52" s="889"/>
      <c r="AW52" s="851">
        <v>6.5</v>
      </c>
      <c r="AX52" s="849">
        <f>AW52/AU52</f>
        <v>6.4999999999999997E-3</v>
      </c>
      <c r="AY52" s="850">
        <v>250</v>
      </c>
      <c r="AZ52" s="850">
        <f t="shared" si="15"/>
        <v>256.5</v>
      </c>
      <c r="BA52" s="849">
        <f>AZ52/AU52</f>
        <v>0.25650000000000001</v>
      </c>
      <c r="BB52" s="839">
        <v>500</v>
      </c>
      <c r="BC52" s="848"/>
      <c r="BD52" s="851">
        <v>48.13</v>
      </c>
      <c r="BE52" s="851">
        <v>0</v>
      </c>
      <c r="BF52" s="852">
        <f>BE52/BB52</f>
        <v>0</v>
      </c>
      <c r="BG52" s="853">
        <v>500</v>
      </c>
      <c r="BH52" s="851">
        <v>1250</v>
      </c>
      <c r="BI52" s="852">
        <f t="shared" si="18"/>
        <v>2.5</v>
      </c>
      <c r="BJ52" s="854"/>
      <c r="BK52" s="890">
        <f t="shared" si="1"/>
        <v>1250</v>
      </c>
      <c r="BL52" s="821"/>
      <c r="BM52" s="1295">
        <v>1250</v>
      </c>
      <c r="BN52" s="1303">
        <v>500</v>
      </c>
      <c r="BO52" s="821"/>
      <c r="BP52" s="1256">
        <v>90</v>
      </c>
      <c r="BQ52" s="1308">
        <f t="shared" si="20"/>
        <v>723.75</v>
      </c>
      <c r="BR52" s="1313">
        <v>633.75</v>
      </c>
      <c r="BS52" s="1315">
        <f t="shared" si="2"/>
        <v>1.2675000000000001</v>
      </c>
      <c r="BT52" s="1319">
        <v>1500</v>
      </c>
      <c r="BU52" s="1261" t="s">
        <v>1024</v>
      </c>
      <c r="BV52" s="1326">
        <f>'Natwest Expenses'!AN132</f>
        <v>633.75</v>
      </c>
      <c r="BW52" s="620" t="s">
        <v>1151</v>
      </c>
    </row>
    <row r="53" spans="1:81" hidden="1" x14ac:dyDescent="0.35">
      <c r="A53" s="895" t="s">
        <v>43</v>
      </c>
      <c r="B53" s="342"/>
      <c r="C53" s="343"/>
      <c r="D53" s="896"/>
      <c r="E53" s="897"/>
      <c r="F53" s="898"/>
      <c r="G53" s="899"/>
      <c r="H53" s="900"/>
      <c r="I53" s="901"/>
      <c r="J53" s="902"/>
      <c r="K53" s="903"/>
      <c r="L53" s="865">
        <v>200</v>
      </c>
      <c r="M53" s="904"/>
      <c r="N53" s="905"/>
      <c r="O53" s="906"/>
      <c r="P53" s="907">
        <f t="shared" si="16"/>
        <v>0</v>
      </c>
      <c r="Q53" s="908"/>
      <c r="R53" s="908"/>
      <c r="S53" s="901"/>
      <c r="T53" s="901"/>
      <c r="U53" s="909"/>
      <c r="V53" s="910">
        <f t="shared" si="7"/>
        <v>0</v>
      </c>
      <c r="W53" s="911">
        <v>918</v>
      </c>
      <c r="X53" s="912">
        <f t="shared" si="8"/>
        <v>4.59</v>
      </c>
      <c r="Y53" s="913">
        <v>1500</v>
      </c>
      <c r="Z53" s="914">
        <v>0</v>
      </c>
      <c r="AA53" s="915"/>
      <c r="AB53" s="916"/>
      <c r="AC53" s="917"/>
      <c r="AD53" s="918"/>
      <c r="AE53" s="919">
        <v>0</v>
      </c>
      <c r="AF53" s="920">
        <f t="shared" si="11"/>
        <v>0</v>
      </c>
      <c r="AG53" s="921"/>
      <c r="AH53" s="922">
        <v>0</v>
      </c>
      <c r="AI53" s="921"/>
      <c r="AJ53" s="923">
        <v>0</v>
      </c>
      <c r="AK53" s="924" t="s">
        <v>151</v>
      </c>
      <c r="AL53" s="925"/>
      <c r="AM53" s="926"/>
      <c r="AN53" s="927"/>
      <c r="AO53" s="928"/>
      <c r="AP53" s="929"/>
      <c r="AQ53" s="930"/>
      <c r="AR53" s="931">
        <f t="shared" si="14"/>
        <v>0</v>
      </c>
      <c r="AS53" s="932"/>
      <c r="AT53" s="927"/>
      <c r="AU53" s="923">
        <v>0</v>
      </c>
      <c r="AV53" s="933"/>
      <c r="AW53" s="934"/>
      <c r="AX53" s="935"/>
      <c r="AY53" s="936">
        <v>0</v>
      </c>
      <c r="AZ53" s="936">
        <f t="shared" si="15"/>
        <v>0</v>
      </c>
      <c r="BA53" s="935"/>
      <c r="BB53" s="945"/>
      <c r="BC53" s="848"/>
      <c r="BD53" s="851"/>
      <c r="BE53" s="851"/>
      <c r="BF53" s="852"/>
      <c r="BG53" s="853"/>
      <c r="BH53" s="851"/>
      <c r="BI53" s="852" t="e">
        <f t="shared" si="18"/>
        <v>#DIV/0!</v>
      </c>
      <c r="BJ53" s="854"/>
      <c r="BK53" s="890">
        <f t="shared" si="1"/>
        <v>0</v>
      </c>
      <c r="BL53" s="821"/>
      <c r="BM53" s="1296"/>
      <c r="BN53" s="1303"/>
      <c r="BO53" s="821"/>
      <c r="BP53" s="1256"/>
      <c r="BQ53" s="1308">
        <f t="shared" si="20"/>
        <v>0</v>
      </c>
      <c r="BR53" s="1313"/>
      <c r="BS53" s="1315" t="e">
        <f t="shared" si="2"/>
        <v>#DIV/0!</v>
      </c>
      <c r="BT53" s="1319"/>
      <c r="BV53" s="1326"/>
    </row>
    <row r="54" spans="1:81" hidden="1" x14ac:dyDescent="0.35">
      <c r="A54" s="895" t="s">
        <v>44</v>
      </c>
      <c r="B54" s="342"/>
      <c r="C54" s="343"/>
      <c r="D54" s="896"/>
      <c r="E54" s="897"/>
      <c r="F54" s="898"/>
      <c r="G54" s="899"/>
      <c r="H54" s="900"/>
      <c r="I54" s="901">
        <v>8000</v>
      </c>
      <c r="J54" s="902"/>
      <c r="K54" s="903"/>
      <c r="L54" s="865"/>
      <c r="M54" s="904"/>
      <c r="N54" s="905"/>
      <c r="O54" s="906"/>
      <c r="P54" s="907"/>
      <c r="Q54" s="908"/>
      <c r="R54" s="908"/>
      <c r="S54" s="901"/>
      <c r="T54" s="901"/>
      <c r="U54" s="909"/>
      <c r="V54" s="910"/>
      <c r="W54" s="911">
        <v>0</v>
      </c>
      <c r="X54" s="912"/>
      <c r="Y54" s="913"/>
      <c r="Z54" s="914">
        <v>0</v>
      </c>
      <c r="AA54" s="915"/>
      <c r="AB54" s="916"/>
      <c r="AC54" s="917"/>
      <c r="AD54" s="918"/>
      <c r="AE54" s="919">
        <v>0</v>
      </c>
      <c r="AF54" s="920">
        <f t="shared" si="11"/>
        <v>0</v>
      </c>
      <c r="AG54" s="921"/>
      <c r="AH54" s="922">
        <v>0</v>
      </c>
      <c r="AI54" s="921"/>
      <c r="AJ54" s="923">
        <v>0</v>
      </c>
      <c r="AK54" s="924"/>
      <c r="AL54" s="925"/>
      <c r="AM54" s="926"/>
      <c r="AN54" s="927"/>
      <c r="AO54" s="928"/>
      <c r="AP54" s="929"/>
      <c r="AQ54" s="930"/>
      <c r="AR54" s="931">
        <f t="shared" si="14"/>
        <v>0</v>
      </c>
      <c r="AS54" s="932"/>
      <c r="AT54" s="927"/>
      <c r="AU54" s="923">
        <v>0</v>
      </c>
      <c r="AV54" s="933"/>
      <c r="AW54" s="934"/>
      <c r="AX54" s="935"/>
      <c r="AY54" s="936">
        <v>0</v>
      </c>
      <c r="AZ54" s="936">
        <f t="shared" si="15"/>
        <v>0</v>
      </c>
      <c r="BA54" s="935"/>
      <c r="BB54" s="945"/>
      <c r="BC54" s="848"/>
      <c r="BD54" s="851"/>
      <c r="BE54" s="851"/>
      <c r="BF54" s="852"/>
      <c r="BG54" s="853"/>
      <c r="BH54" s="851"/>
      <c r="BI54" s="852" t="e">
        <f t="shared" si="18"/>
        <v>#DIV/0!</v>
      </c>
      <c r="BJ54" s="854"/>
      <c r="BK54" s="890">
        <f t="shared" si="1"/>
        <v>0</v>
      </c>
      <c r="BL54" s="821"/>
      <c r="BM54" s="1296"/>
      <c r="BN54" s="1303"/>
      <c r="BO54" s="821"/>
      <c r="BP54" s="1256"/>
      <c r="BQ54" s="1308">
        <f t="shared" si="20"/>
        <v>0</v>
      </c>
      <c r="BR54" s="1313"/>
      <c r="BS54" s="1315" t="e">
        <f t="shared" si="2"/>
        <v>#DIV/0!</v>
      </c>
      <c r="BT54" s="1319"/>
      <c r="BV54" s="1326"/>
    </row>
    <row r="55" spans="1:81" x14ac:dyDescent="0.35">
      <c r="A55" s="180" t="s">
        <v>365</v>
      </c>
      <c r="B55" s="9"/>
      <c r="C55" s="181"/>
      <c r="D55" s="822"/>
      <c r="E55" s="626"/>
      <c r="F55" s="948"/>
      <c r="G55" s="949"/>
      <c r="H55" s="950"/>
      <c r="I55" s="951"/>
      <c r="J55" s="952"/>
      <c r="K55" s="953"/>
      <c r="L55" s="865"/>
      <c r="M55" s="830"/>
      <c r="N55" s="954"/>
      <c r="O55" s="955"/>
      <c r="P55" s="956"/>
      <c r="Q55" s="957"/>
      <c r="R55" s="957"/>
      <c r="S55" s="951"/>
      <c r="T55" s="951"/>
      <c r="U55" s="866"/>
      <c r="V55" s="958"/>
      <c r="W55" s="959"/>
      <c r="X55" s="960"/>
      <c r="Y55" s="870"/>
      <c r="Z55" s="829"/>
      <c r="AA55" s="961"/>
      <c r="AB55" s="962"/>
      <c r="AC55" s="963"/>
      <c r="AD55" s="964"/>
      <c r="AE55" s="965"/>
      <c r="AF55" s="966"/>
      <c r="AG55" s="967"/>
      <c r="AH55" s="968"/>
      <c r="AI55" s="967"/>
      <c r="AJ55" s="879"/>
      <c r="AK55" s="969"/>
      <c r="AL55" s="970"/>
      <c r="AM55" s="971"/>
      <c r="AN55" s="882"/>
      <c r="AO55" s="883"/>
      <c r="AP55" s="884"/>
      <c r="AQ55" s="885"/>
      <c r="AR55" s="886"/>
      <c r="AS55" s="887"/>
      <c r="AT55" s="882"/>
      <c r="AU55" s="879"/>
      <c r="AV55" s="889"/>
      <c r="AW55" s="851"/>
      <c r="AX55" s="972"/>
      <c r="AY55" s="973"/>
      <c r="AZ55" s="973"/>
      <c r="BA55" s="972"/>
      <c r="BB55" s="940"/>
      <c r="BC55" s="848"/>
      <c r="BD55" s="851"/>
      <c r="BE55" s="851"/>
      <c r="BF55" s="852"/>
      <c r="BG55" s="853"/>
      <c r="BH55" s="851">
        <v>450</v>
      </c>
      <c r="BI55" s="852">
        <v>0</v>
      </c>
      <c r="BJ55" s="854">
        <v>0</v>
      </c>
      <c r="BK55" s="890">
        <f t="shared" si="1"/>
        <v>450</v>
      </c>
      <c r="BL55" s="821"/>
      <c r="BM55" s="1295">
        <v>450</v>
      </c>
      <c r="BN55" s="1303"/>
      <c r="BO55" s="821"/>
      <c r="BP55" s="1256">
        <f>BV55/8*4</f>
        <v>167.01999999999998</v>
      </c>
      <c r="BQ55" s="1308">
        <f t="shared" si="20"/>
        <v>501.05999999999995</v>
      </c>
      <c r="BR55" s="1313">
        <v>334.04</v>
      </c>
      <c r="BS55" s="1315"/>
      <c r="BT55" s="1319">
        <v>0</v>
      </c>
      <c r="BV55" s="1326">
        <f>'Natwest Expenses'!AL132</f>
        <v>334.03999999999996</v>
      </c>
    </row>
    <row r="56" spans="1:81" x14ac:dyDescent="0.35">
      <c r="A56" s="180" t="s">
        <v>219</v>
      </c>
      <c r="B56" s="9"/>
      <c r="C56" s="181"/>
      <c r="D56" s="822"/>
      <c r="E56" s="626"/>
      <c r="F56" s="823"/>
      <c r="G56" s="892"/>
      <c r="H56" s="893"/>
      <c r="I56" s="864">
        <v>400</v>
      </c>
      <c r="J56" s="827"/>
      <c r="K56" s="828"/>
      <c r="L56" s="865">
        <v>400</v>
      </c>
      <c r="M56" s="830"/>
      <c r="N56" s="831"/>
      <c r="O56" s="832">
        <v>175</v>
      </c>
      <c r="P56" s="833">
        <f t="shared" si="16"/>
        <v>0.4375</v>
      </c>
      <c r="Q56" s="834"/>
      <c r="R56" s="834"/>
      <c r="S56" s="864"/>
      <c r="T56" s="864"/>
      <c r="U56" s="866">
        <v>175</v>
      </c>
      <c r="V56" s="867">
        <f t="shared" si="7"/>
        <v>0.4375</v>
      </c>
      <c r="W56" s="868">
        <v>175</v>
      </c>
      <c r="X56" s="869">
        <f t="shared" si="8"/>
        <v>0.4375</v>
      </c>
      <c r="Y56" s="870"/>
      <c r="Z56" s="838">
        <v>225</v>
      </c>
      <c r="AA56" s="871"/>
      <c r="AB56" s="872">
        <f t="shared" si="9"/>
        <v>0</v>
      </c>
      <c r="AC56" s="873"/>
      <c r="AD56" s="874">
        <f t="shared" si="10"/>
        <v>0</v>
      </c>
      <c r="AE56" s="875"/>
      <c r="AF56" s="876">
        <f t="shared" si="11"/>
        <v>0</v>
      </c>
      <c r="AG56" s="877">
        <f t="shared" si="12"/>
        <v>0</v>
      </c>
      <c r="AH56" s="878">
        <v>0</v>
      </c>
      <c r="AI56" s="877">
        <f t="shared" si="13"/>
        <v>0</v>
      </c>
      <c r="AJ56" s="879">
        <v>1000</v>
      </c>
      <c r="AK56" s="880"/>
      <c r="AL56" s="805"/>
      <c r="AM56" s="806"/>
      <c r="AN56" s="882"/>
      <c r="AO56" s="883"/>
      <c r="AP56" s="884"/>
      <c r="AQ56" s="885"/>
      <c r="AR56" s="886">
        <f t="shared" si="14"/>
        <v>0</v>
      </c>
      <c r="AS56" s="887">
        <f>AP56/AJ56</f>
        <v>0</v>
      </c>
      <c r="AT56" s="882"/>
      <c r="AU56" s="888">
        <v>500</v>
      </c>
      <c r="AV56" s="889"/>
      <c r="AW56" s="851">
        <v>0</v>
      </c>
      <c r="AX56" s="849">
        <f>AW56/AU56</f>
        <v>0</v>
      </c>
      <c r="AY56" s="850">
        <v>125</v>
      </c>
      <c r="AZ56" s="850">
        <f t="shared" si="15"/>
        <v>125</v>
      </c>
      <c r="BA56" s="849">
        <f>AZ56/AU56</f>
        <v>0.25</v>
      </c>
      <c r="BB56" s="839">
        <v>1500</v>
      </c>
      <c r="BC56" s="848" t="s">
        <v>253</v>
      </c>
      <c r="BD56" s="851">
        <v>993.58</v>
      </c>
      <c r="BE56" s="851">
        <v>993.58</v>
      </c>
      <c r="BF56" s="852">
        <f>BE56/BB56</f>
        <v>0.66238666666666668</v>
      </c>
      <c r="BG56" s="853">
        <v>1500</v>
      </c>
      <c r="BH56" s="851"/>
      <c r="BI56" s="852">
        <f t="shared" si="18"/>
        <v>0</v>
      </c>
      <c r="BJ56" s="854">
        <v>600</v>
      </c>
      <c r="BK56" s="890">
        <f t="shared" si="1"/>
        <v>600</v>
      </c>
      <c r="BL56" s="821" t="s">
        <v>370</v>
      </c>
      <c r="BM56" s="1296"/>
      <c r="BN56" s="1303"/>
      <c r="BO56" s="821"/>
      <c r="BP56" s="1256"/>
      <c r="BQ56" s="1308">
        <f t="shared" si="20"/>
        <v>0</v>
      </c>
      <c r="BR56" s="1313">
        <v>0</v>
      </c>
      <c r="BS56" s="1315"/>
      <c r="BT56" s="1319">
        <v>500</v>
      </c>
      <c r="BU56" s="1261" t="s">
        <v>122</v>
      </c>
      <c r="BV56" s="1326">
        <v>0</v>
      </c>
    </row>
    <row r="57" spans="1:81" hidden="1" x14ac:dyDescent="0.35">
      <c r="A57" s="895" t="s">
        <v>45</v>
      </c>
      <c r="B57" s="342"/>
      <c r="C57" s="343"/>
      <c r="D57" s="896"/>
      <c r="E57" s="897"/>
      <c r="F57" s="898"/>
      <c r="G57" s="899"/>
      <c r="H57" s="900"/>
      <c r="I57" s="901">
        <v>400</v>
      </c>
      <c r="J57" s="902"/>
      <c r="K57" s="903"/>
      <c r="L57" s="865">
        <v>400</v>
      </c>
      <c r="M57" s="904"/>
      <c r="N57" s="905"/>
      <c r="O57" s="906"/>
      <c r="P57" s="907">
        <f t="shared" si="16"/>
        <v>0</v>
      </c>
      <c r="Q57" s="908"/>
      <c r="R57" s="908"/>
      <c r="S57" s="901"/>
      <c r="T57" s="901"/>
      <c r="U57" s="909">
        <v>1405.12</v>
      </c>
      <c r="V57" s="910">
        <f t="shared" si="7"/>
        <v>3.5127999999999999</v>
      </c>
      <c r="W57" s="911">
        <v>1405.12</v>
      </c>
      <c r="X57" s="912">
        <f t="shared" si="8"/>
        <v>3.5127999999999999</v>
      </c>
      <c r="Y57" s="913"/>
      <c r="Z57" s="914">
        <v>0</v>
      </c>
      <c r="AA57" s="915"/>
      <c r="AB57" s="916"/>
      <c r="AC57" s="917"/>
      <c r="AD57" s="918"/>
      <c r="AE57" s="919"/>
      <c r="AF57" s="920">
        <f t="shared" si="11"/>
        <v>0</v>
      </c>
      <c r="AG57" s="921"/>
      <c r="AH57" s="922">
        <v>0</v>
      </c>
      <c r="AI57" s="921"/>
      <c r="AJ57" s="923"/>
      <c r="AK57" s="924"/>
      <c r="AL57" s="925"/>
      <c r="AM57" s="926"/>
      <c r="AN57" s="927"/>
      <c r="AO57" s="928"/>
      <c r="AP57" s="929"/>
      <c r="AQ57" s="930"/>
      <c r="AR57" s="931">
        <f t="shared" si="14"/>
        <v>0</v>
      </c>
      <c r="AS57" s="932"/>
      <c r="AT57" s="927"/>
      <c r="AU57" s="923"/>
      <c r="AV57" s="933"/>
      <c r="AW57" s="934"/>
      <c r="AX57" s="935"/>
      <c r="AY57" s="936">
        <v>0</v>
      </c>
      <c r="AZ57" s="936">
        <f t="shared" si="15"/>
        <v>0</v>
      </c>
      <c r="BA57" s="935"/>
      <c r="BB57" s="945"/>
      <c r="BC57" s="848"/>
      <c r="BD57" s="851"/>
      <c r="BE57" s="851"/>
      <c r="BF57" s="852"/>
      <c r="BG57" s="853"/>
      <c r="BH57" s="851"/>
      <c r="BI57" s="852" t="e">
        <f t="shared" si="18"/>
        <v>#DIV/0!</v>
      </c>
      <c r="BJ57" s="854"/>
      <c r="BK57" s="890">
        <f t="shared" si="1"/>
        <v>0</v>
      </c>
      <c r="BL57" s="821"/>
      <c r="BM57" s="1296"/>
      <c r="BN57" s="1303"/>
      <c r="BO57" s="821"/>
      <c r="BP57" s="1256"/>
      <c r="BQ57" s="1308">
        <f t="shared" si="20"/>
        <v>0</v>
      </c>
      <c r="BR57" s="1313"/>
      <c r="BS57" s="1315" t="e">
        <f t="shared" si="2"/>
        <v>#DIV/0!</v>
      </c>
      <c r="BT57" s="1319"/>
      <c r="BV57" s="1326"/>
    </row>
    <row r="58" spans="1:81" x14ac:dyDescent="0.35">
      <c r="A58" s="180" t="s">
        <v>777</v>
      </c>
      <c r="B58" s="342"/>
      <c r="C58" s="343"/>
      <c r="D58" s="896"/>
      <c r="E58" s="897"/>
      <c r="F58" s="898"/>
      <c r="G58" s="899"/>
      <c r="H58" s="900"/>
      <c r="I58" s="901"/>
      <c r="J58" s="902"/>
      <c r="K58" s="903"/>
      <c r="L58" s="865"/>
      <c r="M58" s="904"/>
      <c r="N58" s="905"/>
      <c r="O58" s="906"/>
      <c r="P58" s="907"/>
      <c r="Q58" s="908"/>
      <c r="R58" s="908"/>
      <c r="S58" s="901"/>
      <c r="T58" s="901"/>
      <c r="U58" s="909"/>
      <c r="V58" s="910"/>
      <c r="W58" s="911"/>
      <c r="X58" s="912"/>
      <c r="Y58" s="913"/>
      <c r="Z58" s="914"/>
      <c r="AA58" s="915"/>
      <c r="AB58" s="916"/>
      <c r="AC58" s="917"/>
      <c r="AD58" s="918"/>
      <c r="AE58" s="919"/>
      <c r="AF58" s="920"/>
      <c r="AG58" s="921"/>
      <c r="AH58" s="922"/>
      <c r="AI58" s="921"/>
      <c r="AJ58" s="923"/>
      <c r="AK58" s="924"/>
      <c r="AL58" s="925"/>
      <c r="AM58" s="926"/>
      <c r="AN58" s="927"/>
      <c r="AO58" s="928"/>
      <c r="AP58" s="929"/>
      <c r="AQ58" s="930"/>
      <c r="AR58" s="931"/>
      <c r="AS58" s="932"/>
      <c r="AT58" s="927"/>
      <c r="AU58" s="923"/>
      <c r="AV58" s="933"/>
      <c r="AW58" s="934"/>
      <c r="AX58" s="935"/>
      <c r="AY58" s="936"/>
      <c r="AZ58" s="936"/>
      <c r="BA58" s="935"/>
      <c r="BB58" s="940"/>
      <c r="BC58" s="848"/>
      <c r="BD58" s="851"/>
      <c r="BE58" s="851"/>
      <c r="BF58" s="852"/>
      <c r="BG58" s="853"/>
      <c r="BH58" s="851"/>
      <c r="BI58" s="852"/>
      <c r="BJ58" s="854"/>
      <c r="BK58" s="890"/>
      <c r="BL58" s="821"/>
      <c r="BM58" s="1296"/>
      <c r="BN58" s="1303">
        <v>500</v>
      </c>
      <c r="BO58" s="821"/>
      <c r="BP58" s="1256">
        <v>0</v>
      </c>
      <c r="BQ58" s="1308">
        <f t="shared" si="20"/>
        <v>0</v>
      </c>
      <c r="BR58" s="1313">
        <v>0</v>
      </c>
      <c r="BS58" s="1315">
        <f t="shared" si="2"/>
        <v>0</v>
      </c>
      <c r="BT58" s="1319">
        <v>800</v>
      </c>
      <c r="BU58" s="1261" t="s">
        <v>122</v>
      </c>
      <c r="BV58" s="1326">
        <v>0</v>
      </c>
    </row>
    <row r="59" spans="1:81" x14ac:dyDescent="0.35">
      <c r="A59" s="180" t="s">
        <v>46</v>
      </c>
      <c r="B59" s="9"/>
      <c r="C59" s="181"/>
      <c r="D59" s="822"/>
      <c r="E59" s="626"/>
      <c r="F59" s="823"/>
      <c r="G59" s="892"/>
      <c r="H59" s="893"/>
      <c r="I59" s="864"/>
      <c r="J59" s="827"/>
      <c r="K59" s="828"/>
      <c r="L59" s="865">
        <f>4520+426.88</f>
        <v>4946.88</v>
      </c>
      <c r="M59" s="830"/>
      <c r="N59" s="831"/>
      <c r="O59" s="832"/>
      <c r="P59" s="833">
        <f t="shared" si="16"/>
        <v>0</v>
      </c>
      <c r="Q59" s="834"/>
      <c r="R59" s="834"/>
      <c r="S59" s="864"/>
      <c r="T59" s="864"/>
      <c r="U59" s="866"/>
      <c r="V59" s="867">
        <f t="shared" si="7"/>
        <v>0</v>
      </c>
      <c r="W59" s="868"/>
      <c r="X59" s="869">
        <f t="shared" si="8"/>
        <v>0</v>
      </c>
      <c r="Y59" s="870"/>
      <c r="Z59" s="838">
        <v>0</v>
      </c>
      <c r="AA59" s="871"/>
      <c r="AB59" s="872"/>
      <c r="AC59" s="873"/>
      <c r="AD59" s="874"/>
      <c r="AE59" s="875"/>
      <c r="AF59" s="876">
        <f t="shared" si="11"/>
        <v>0</v>
      </c>
      <c r="AG59" s="877"/>
      <c r="AH59" s="878">
        <v>0</v>
      </c>
      <c r="AI59" s="877"/>
      <c r="AJ59" s="879"/>
      <c r="AK59" s="880"/>
      <c r="AL59" s="805"/>
      <c r="AM59" s="806"/>
      <c r="AN59" s="882"/>
      <c r="AO59" s="883"/>
      <c r="AP59" s="884"/>
      <c r="AQ59" s="885"/>
      <c r="AR59" s="886">
        <f t="shared" si="14"/>
        <v>0</v>
      </c>
      <c r="AS59" s="887"/>
      <c r="AT59" s="882"/>
      <c r="AU59" s="888"/>
      <c r="AV59" s="889" t="s">
        <v>209</v>
      </c>
      <c r="AW59" s="851">
        <v>0</v>
      </c>
      <c r="AX59" s="849"/>
      <c r="AY59" s="850">
        <v>0</v>
      </c>
      <c r="AZ59" s="850">
        <f t="shared" si="15"/>
        <v>0</v>
      </c>
      <c r="BA59" s="849"/>
      <c r="BB59" s="839"/>
      <c r="BC59" s="848" t="s">
        <v>254</v>
      </c>
      <c r="BD59" s="851">
        <v>0</v>
      </c>
      <c r="BE59" s="851">
        <v>0</v>
      </c>
      <c r="BF59" s="852"/>
      <c r="BG59" s="853"/>
      <c r="BH59" s="851"/>
      <c r="BI59" s="852">
        <v>0</v>
      </c>
      <c r="BJ59" s="854"/>
      <c r="BK59" s="890">
        <f t="shared" si="1"/>
        <v>0</v>
      </c>
      <c r="BL59" s="821"/>
      <c r="BM59" s="1296"/>
      <c r="BN59" s="1303"/>
      <c r="BO59" s="821"/>
      <c r="BP59" s="1256">
        <v>0</v>
      </c>
      <c r="BQ59" s="1308">
        <f t="shared" si="20"/>
        <v>0</v>
      </c>
      <c r="BR59" s="1313">
        <v>0</v>
      </c>
      <c r="BS59" s="1315"/>
      <c r="BT59" s="1319">
        <v>0</v>
      </c>
      <c r="BU59" s="1261" t="s">
        <v>1019</v>
      </c>
      <c r="BV59" s="1326">
        <v>0</v>
      </c>
      <c r="BY59" s="7"/>
      <c r="BZ59" s="7"/>
      <c r="CA59" s="327"/>
      <c r="CB59" s="2"/>
      <c r="CC59" s="144"/>
    </row>
    <row r="60" spans="1:81" ht="31" x14ac:dyDescent="0.35">
      <c r="A60" s="180" t="s">
        <v>47</v>
      </c>
      <c r="B60" s="974"/>
      <c r="C60" s="180"/>
      <c r="D60" s="180"/>
      <c r="E60" s="626"/>
      <c r="F60" s="180"/>
      <c r="G60" s="892"/>
      <c r="H60" s="893"/>
      <c r="I60" s="864">
        <v>240</v>
      </c>
      <c r="J60" s="827"/>
      <c r="K60" s="828"/>
      <c r="L60" s="865">
        <v>400</v>
      </c>
      <c r="M60" s="830"/>
      <c r="N60" s="831"/>
      <c r="O60" s="832"/>
      <c r="P60" s="833">
        <f t="shared" si="16"/>
        <v>0</v>
      </c>
      <c r="Q60" s="834"/>
      <c r="R60" s="834"/>
      <c r="S60" s="975"/>
      <c r="T60" s="975"/>
      <c r="U60" s="866"/>
      <c r="V60" s="867">
        <f t="shared" si="7"/>
        <v>0</v>
      </c>
      <c r="W60" s="868">
        <v>559</v>
      </c>
      <c r="X60" s="869">
        <f t="shared" si="8"/>
        <v>1.3975</v>
      </c>
      <c r="Y60" s="870">
        <v>560</v>
      </c>
      <c r="Z60" s="838">
        <v>72</v>
      </c>
      <c r="AA60" s="871"/>
      <c r="AB60" s="872">
        <f t="shared" si="9"/>
        <v>0</v>
      </c>
      <c r="AC60" s="873"/>
      <c r="AD60" s="874">
        <f t="shared" si="10"/>
        <v>0</v>
      </c>
      <c r="AE60" s="875"/>
      <c r="AF60" s="876">
        <f t="shared" si="11"/>
        <v>0</v>
      </c>
      <c r="AG60" s="877">
        <f t="shared" si="12"/>
        <v>0</v>
      </c>
      <c r="AH60" s="878">
        <v>136</v>
      </c>
      <c r="AI60" s="877">
        <f t="shared" si="13"/>
        <v>1.8888888888888888</v>
      </c>
      <c r="AJ60" s="879">
        <v>72</v>
      </c>
      <c r="AK60" s="880"/>
      <c r="AL60" s="805"/>
      <c r="AM60" s="806"/>
      <c r="AN60" s="882"/>
      <c r="AO60" s="883"/>
      <c r="AP60" s="884"/>
      <c r="AQ60" s="885">
        <v>72</v>
      </c>
      <c r="AR60" s="886">
        <f t="shared" si="14"/>
        <v>72</v>
      </c>
      <c r="AS60" s="887">
        <f>AP60/AJ60</f>
        <v>0</v>
      </c>
      <c r="AT60" s="882"/>
      <c r="AU60" s="888">
        <v>75</v>
      </c>
      <c r="AV60" s="889"/>
      <c r="AW60" s="851">
        <v>0</v>
      </c>
      <c r="AX60" s="849">
        <f>AW60/AU60</f>
        <v>0</v>
      </c>
      <c r="AY60" s="850">
        <v>25</v>
      </c>
      <c r="AZ60" s="850">
        <f t="shared" si="15"/>
        <v>25</v>
      </c>
      <c r="BA60" s="849">
        <f>AZ60/AU60</f>
        <v>0.33333333333333331</v>
      </c>
      <c r="BB60" s="839">
        <v>75</v>
      </c>
      <c r="BC60" s="848"/>
      <c r="BD60" s="851">
        <v>0</v>
      </c>
      <c r="BE60" s="851">
        <v>0</v>
      </c>
      <c r="BF60" s="852">
        <f>BE60/BB60</f>
        <v>0</v>
      </c>
      <c r="BG60" s="853">
        <v>250</v>
      </c>
      <c r="BH60" s="851">
        <v>210</v>
      </c>
      <c r="BI60" s="852">
        <f t="shared" si="18"/>
        <v>0.84</v>
      </c>
      <c r="BJ60" s="854">
        <v>40</v>
      </c>
      <c r="BK60" s="890">
        <f t="shared" si="1"/>
        <v>250</v>
      </c>
      <c r="BL60" s="821"/>
      <c r="BM60" s="1295">
        <v>620</v>
      </c>
      <c r="BN60" s="1303">
        <v>500</v>
      </c>
      <c r="BO60" s="821" t="s">
        <v>379</v>
      </c>
      <c r="BP60" s="1256">
        <v>500</v>
      </c>
      <c r="BQ60" s="1308">
        <f t="shared" si="20"/>
        <v>500</v>
      </c>
      <c r="BR60" s="1313">
        <v>0</v>
      </c>
      <c r="BS60" s="1315">
        <f t="shared" si="2"/>
        <v>0</v>
      </c>
      <c r="BT60" s="1319">
        <v>500</v>
      </c>
      <c r="BU60" s="1287" t="s">
        <v>1020</v>
      </c>
      <c r="BV60" s="1326">
        <f>'Natwest Expenses'!P132</f>
        <v>0</v>
      </c>
      <c r="BY60" s="30"/>
      <c r="BZ60" s="2"/>
      <c r="CA60" s="73"/>
      <c r="CB60" s="4"/>
      <c r="CC60" s="145"/>
    </row>
    <row r="61" spans="1:81" x14ac:dyDescent="0.35">
      <c r="A61" s="180" t="s">
        <v>118</v>
      </c>
      <c r="B61" s="974"/>
      <c r="C61" s="180"/>
      <c r="D61" s="180"/>
      <c r="E61" s="626"/>
      <c r="F61" s="180"/>
      <c r="G61" s="892"/>
      <c r="H61" s="893"/>
      <c r="I61" s="864"/>
      <c r="J61" s="827"/>
      <c r="K61" s="828"/>
      <c r="L61" s="865"/>
      <c r="M61" s="830"/>
      <c r="N61" s="831"/>
      <c r="O61" s="832"/>
      <c r="P61" s="833"/>
      <c r="Q61" s="834" t="s">
        <v>119</v>
      </c>
      <c r="R61" s="834"/>
      <c r="S61" s="975"/>
      <c r="T61" s="975"/>
      <c r="U61" s="866"/>
      <c r="V61" s="867"/>
      <c r="W61" s="868"/>
      <c r="X61" s="869"/>
      <c r="Y61" s="870"/>
      <c r="Z61" s="838">
        <v>1000</v>
      </c>
      <c r="AA61" s="871">
        <v>34.299999999999997</v>
      </c>
      <c r="AB61" s="872">
        <f t="shared" si="9"/>
        <v>3.4299999999999997E-2</v>
      </c>
      <c r="AC61" s="873">
        <v>34.299999999999997</v>
      </c>
      <c r="AD61" s="874">
        <f t="shared" si="10"/>
        <v>3.4299999999999997E-2</v>
      </c>
      <c r="AE61" s="875"/>
      <c r="AF61" s="876">
        <f t="shared" si="11"/>
        <v>34.299999999999997</v>
      </c>
      <c r="AG61" s="877">
        <f t="shared" si="12"/>
        <v>3.4299999999999997E-2</v>
      </c>
      <c r="AH61" s="878">
        <v>1447.3</v>
      </c>
      <c r="AI61" s="877">
        <f t="shared" si="13"/>
        <v>1.4473</v>
      </c>
      <c r="AJ61" s="879">
        <v>500</v>
      </c>
      <c r="AK61" s="880" t="s">
        <v>135</v>
      </c>
      <c r="AL61" s="805"/>
      <c r="AM61" s="806"/>
      <c r="AN61" s="882">
        <v>337.5</v>
      </c>
      <c r="AO61" s="883">
        <v>357.5</v>
      </c>
      <c r="AP61" s="884">
        <v>337.5</v>
      </c>
      <c r="AQ61" s="885">
        <v>140</v>
      </c>
      <c r="AR61" s="886">
        <f t="shared" si="14"/>
        <v>497.5</v>
      </c>
      <c r="AS61" s="887">
        <f>AP61/AJ61</f>
        <v>0.67500000000000004</v>
      </c>
      <c r="AT61" s="882"/>
      <c r="AU61" s="888">
        <v>500</v>
      </c>
      <c r="AV61" s="812"/>
      <c r="AW61" s="851">
        <v>0</v>
      </c>
      <c r="AX61" s="849">
        <f>AW61/AU61</f>
        <v>0</v>
      </c>
      <c r="AY61" s="850">
        <v>100</v>
      </c>
      <c r="AZ61" s="850">
        <f t="shared" si="15"/>
        <v>100</v>
      </c>
      <c r="BA61" s="849">
        <f>AZ61/AU61</f>
        <v>0.2</v>
      </c>
      <c r="BB61" s="839">
        <v>250</v>
      </c>
      <c r="BC61" s="848"/>
      <c r="BD61" s="851">
        <v>1005.75</v>
      </c>
      <c r="BE61" s="851">
        <v>-250</v>
      </c>
      <c r="BF61" s="852">
        <f>BE61/BB61</f>
        <v>-1</v>
      </c>
      <c r="BG61" s="853">
        <v>1000</v>
      </c>
      <c r="BH61" s="851">
        <v>41.04</v>
      </c>
      <c r="BI61" s="852">
        <f t="shared" si="18"/>
        <v>4.104E-2</v>
      </c>
      <c r="BJ61" s="854">
        <v>250</v>
      </c>
      <c r="BK61" s="890">
        <f t="shared" si="1"/>
        <v>291.04000000000002</v>
      </c>
      <c r="BL61" s="821"/>
      <c r="BM61" s="1295">
        <v>41.04</v>
      </c>
      <c r="BN61" s="1303">
        <v>250</v>
      </c>
      <c r="BO61" s="821"/>
      <c r="BP61" s="1256">
        <v>0</v>
      </c>
      <c r="BQ61" s="1308">
        <f t="shared" si="20"/>
        <v>150</v>
      </c>
      <c r="BR61" s="1313">
        <v>150</v>
      </c>
      <c r="BS61" s="1315">
        <f t="shared" si="2"/>
        <v>0.6</v>
      </c>
      <c r="BT61" s="1319">
        <v>0</v>
      </c>
      <c r="BV61" s="1326">
        <f>'Natwest Expenses'!AQ132</f>
        <v>150</v>
      </c>
      <c r="BY61" s="2"/>
      <c r="BZ61" s="2"/>
      <c r="CA61" s="212"/>
      <c r="CB61" s="4"/>
      <c r="CC61" s="31"/>
    </row>
    <row r="62" spans="1:81" ht="16" hidden="1" thickBot="1" x14ac:dyDescent="0.4">
      <c r="A62" s="895" t="s">
        <v>129</v>
      </c>
      <c r="B62" s="976"/>
      <c r="C62" s="895"/>
      <c r="D62" s="895"/>
      <c r="E62" s="895"/>
      <c r="F62" s="895"/>
      <c r="G62" s="977"/>
      <c r="H62" s="978"/>
      <c r="I62" s="895"/>
      <c r="J62" s="979"/>
      <c r="K62" s="979"/>
      <c r="L62" s="644"/>
      <c r="M62" s="980"/>
      <c r="N62" s="981"/>
      <c r="O62" s="982"/>
      <c r="P62" s="981"/>
      <c r="Q62" s="980"/>
      <c r="R62" s="980"/>
      <c r="S62" s="895"/>
      <c r="T62" s="895"/>
      <c r="U62" s="983"/>
      <c r="V62" s="983"/>
      <c r="W62" s="978"/>
      <c r="X62" s="979"/>
      <c r="Y62" s="913">
        <f>SUM(Y8:Y61)</f>
        <v>10461.6</v>
      </c>
      <c r="Z62" s="914">
        <v>5500</v>
      </c>
      <c r="AA62" s="915"/>
      <c r="AB62" s="916">
        <f t="shared" si="9"/>
        <v>0</v>
      </c>
      <c r="AC62" s="917"/>
      <c r="AD62" s="918">
        <f t="shared" si="10"/>
        <v>0</v>
      </c>
      <c r="AE62" s="919">
        <v>0</v>
      </c>
      <c r="AF62" s="920">
        <f t="shared" si="11"/>
        <v>0</v>
      </c>
      <c r="AG62" s="921">
        <f t="shared" si="12"/>
        <v>0</v>
      </c>
      <c r="AH62" s="922">
        <v>0</v>
      </c>
      <c r="AI62" s="921">
        <f t="shared" si="13"/>
        <v>0</v>
      </c>
      <c r="AJ62" s="923"/>
      <c r="AK62" s="924"/>
      <c r="AL62" s="925"/>
      <c r="AM62" s="926"/>
      <c r="AN62" s="984"/>
      <c r="AO62" s="928"/>
      <c r="AP62" s="929"/>
      <c r="AQ62" s="930"/>
      <c r="AR62" s="931">
        <f t="shared" si="14"/>
        <v>0</v>
      </c>
      <c r="AS62" s="932"/>
      <c r="AT62" s="927"/>
      <c r="AU62" s="923"/>
      <c r="AV62" s="985"/>
      <c r="AW62" s="934"/>
      <c r="AX62" s="935"/>
      <c r="AY62" s="936">
        <v>0</v>
      </c>
      <c r="AZ62" s="936">
        <f t="shared" si="15"/>
        <v>0</v>
      </c>
      <c r="BA62" s="935"/>
      <c r="BB62" s="945"/>
      <c r="BC62" s="848"/>
      <c r="BD62" s="851"/>
      <c r="BE62" s="851"/>
      <c r="BF62" s="852"/>
      <c r="BG62" s="853"/>
      <c r="BH62" s="851"/>
      <c r="BI62" s="852" t="e">
        <f t="shared" si="18"/>
        <v>#DIV/0!</v>
      </c>
      <c r="BJ62" s="854"/>
      <c r="BK62" s="890">
        <f t="shared" si="1"/>
        <v>0</v>
      </c>
      <c r="BL62" s="821"/>
      <c r="BM62" s="1296"/>
      <c r="BN62" s="1303"/>
      <c r="BO62" s="821"/>
      <c r="BP62" s="1256"/>
      <c r="BQ62" s="1308">
        <f t="shared" si="20"/>
        <v>0</v>
      </c>
      <c r="BR62" s="1313"/>
      <c r="BS62" s="1315" t="e">
        <f t="shared" si="2"/>
        <v>#DIV/0!</v>
      </c>
      <c r="BT62" s="1319"/>
      <c r="BV62" s="1326"/>
      <c r="BY62" s="2"/>
      <c r="BZ62" s="4"/>
      <c r="CA62" s="283"/>
      <c r="CB62" s="4"/>
      <c r="CC62" s="18"/>
    </row>
    <row r="63" spans="1:81" ht="16.5" hidden="1" customHeight="1" thickBot="1" x14ac:dyDescent="0.4">
      <c r="A63" s="895"/>
      <c r="B63" s="976"/>
      <c r="C63" s="895"/>
      <c r="D63" s="895"/>
      <c r="E63" s="895"/>
      <c r="F63" s="895"/>
      <c r="G63" s="977"/>
      <c r="H63" s="978"/>
      <c r="I63" s="895"/>
      <c r="J63" s="979"/>
      <c r="K63" s="979"/>
      <c r="L63" s="644"/>
      <c r="M63" s="980"/>
      <c r="N63" s="981"/>
      <c r="O63" s="982"/>
      <c r="P63" s="981"/>
      <c r="Q63" s="980"/>
      <c r="R63" s="980"/>
      <c r="S63" s="895"/>
      <c r="T63" s="895"/>
      <c r="U63" s="983"/>
      <c r="V63" s="983"/>
      <c r="W63" s="978"/>
      <c r="X63" s="979"/>
      <c r="Y63" s="913"/>
      <c r="Z63" s="914"/>
      <c r="AA63" s="922"/>
      <c r="AB63" s="916"/>
      <c r="AC63" s="986"/>
      <c r="AD63" s="918"/>
      <c r="AE63" s="919"/>
      <c r="AF63" s="920"/>
      <c r="AG63" s="921"/>
      <c r="AH63" s="922"/>
      <c r="AI63" s="921"/>
      <c r="AJ63" s="923"/>
      <c r="AK63" s="924"/>
      <c r="AL63" s="925"/>
      <c r="AM63" s="926"/>
      <c r="AN63" s="987"/>
      <c r="AO63" s="988"/>
      <c r="AP63" s="929"/>
      <c r="AQ63" s="930"/>
      <c r="AR63" s="989"/>
      <c r="AS63" s="932"/>
      <c r="AT63" s="984"/>
      <c r="AU63" s="923"/>
      <c r="AV63" s="990" t="s">
        <v>221</v>
      </c>
      <c r="AW63" s="991"/>
      <c r="AX63" s="992"/>
      <c r="AY63" s="993">
        <v>0</v>
      </c>
      <c r="AZ63" s="993">
        <f t="shared" si="15"/>
        <v>0</v>
      </c>
      <c r="BA63" s="935"/>
      <c r="BB63" s="994"/>
      <c r="BC63" s="995"/>
      <c r="BD63" s="996"/>
      <c r="BE63" s="851"/>
      <c r="BF63" s="997"/>
      <c r="BG63" s="853"/>
      <c r="BH63" s="851"/>
      <c r="BI63" s="852" t="e">
        <f t="shared" si="18"/>
        <v>#DIV/0!</v>
      </c>
      <c r="BJ63" s="854"/>
      <c r="BK63" s="890">
        <f t="shared" si="1"/>
        <v>0</v>
      </c>
      <c r="BL63" s="821"/>
      <c r="BM63" s="1296"/>
      <c r="BN63" s="1303"/>
      <c r="BO63" s="821"/>
      <c r="BP63" s="1256"/>
      <c r="BQ63" s="1308">
        <f t="shared" si="20"/>
        <v>0</v>
      </c>
      <c r="BR63" s="1313"/>
      <c r="BS63" s="1315" t="e">
        <f t="shared" si="2"/>
        <v>#DIV/0!</v>
      </c>
      <c r="BT63" s="1319"/>
      <c r="BV63" s="1326"/>
      <c r="BY63" s="2"/>
      <c r="BZ63" s="4"/>
      <c r="CA63" s="143"/>
      <c r="CB63" s="4"/>
      <c r="CC63" s="18"/>
    </row>
    <row r="64" spans="1:81" ht="16.5" customHeight="1" thickBot="1" x14ac:dyDescent="0.4">
      <c r="A64" s="180" t="s">
        <v>347</v>
      </c>
      <c r="B64" s="998"/>
      <c r="C64" s="180"/>
      <c r="D64" s="180"/>
      <c r="E64" s="180"/>
      <c r="F64" s="180"/>
      <c r="G64" s="741"/>
      <c r="H64" s="860"/>
      <c r="I64" s="180"/>
      <c r="J64" s="835"/>
      <c r="K64" s="835"/>
      <c r="L64" s="644"/>
      <c r="M64" s="999"/>
      <c r="N64" s="1000"/>
      <c r="O64" s="1001"/>
      <c r="P64" s="1000"/>
      <c r="Q64" s="999"/>
      <c r="R64" s="999"/>
      <c r="S64" s="180"/>
      <c r="T64" s="180"/>
      <c r="U64" s="836"/>
      <c r="V64" s="836"/>
      <c r="W64" s="860"/>
      <c r="X64" s="835"/>
      <c r="Y64" s="870"/>
      <c r="Z64" s="829"/>
      <c r="AA64" s="968"/>
      <c r="AB64" s="962"/>
      <c r="AC64" s="1002"/>
      <c r="AD64" s="964"/>
      <c r="AE64" s="965"/>
      <c r="AF64" s="966"/>
      <c r="AG64" s="967"/>
      <c r="AH64" s="968"/>
      <c r="AI64" s="967"/>
      <c r="AJ64" s="879"/>
      <c r="AK64" s="969"/>
      <c r="AL64" s="970"/>
      <c r="AM64" s="971"/>
      <c r="AN64" s="1003"/>
      <c r="AO64" s="1004"/>
      <c r="AP64" s="884"/>
      <c r="AQ64" s="885"/>
      <c r="AR64" s="1005"/>
      <c r="AS64" s="887"/>
      <c r="AT64" s="1006"/>
      <c r="AU64" s="879"/>
      <c r="AV64" s="1007"/>
      <c r="AW64" s="996"/>
      <c r="AX64" s="1008"/>
      <c r="AY64" s="1009"/>
      <c r="AZ64" s="1009"/>
      <c r="BA64" s="972"/>
      <c r="BB64" s="1010"/>
      <c r="BC64" s="995"/>
      <c r="BD64" s="996"/>
      <c r="BE64" s="851">
        <v>1282.98</v>
      </c>
      <c r="BF64" s="1011"/>
      <c r="BG64" s="1012"/>
      <c r="BH64" s="996">
        <v>739.15</v>
      </c>
      <c r="BI64" s="852">
        <v>0</v>
      </c>
      <c r="BJ64" s="1013">
        <f>BH64/8*4</f>
        <v>369.57499999999999</v>
      </c>
      <c r="BK64" s="1014">
        <f t="shared" si="1"/>
        <v>1108.7249999999999</v>
      </c>
      <c r="BL64" s="821"/>
      <c r="BM64" s="1290">
        <v>1288.1500000000001</v>
      </c>
      <c r="BN64" s="1303">
        <v>2500</v>
      </c>
      <c r="BO64" s="821" t="s">
        <v>372</v>
      </c>
      <c r="BP64" s="1292">
        <f>BV64/8*4</f>
        <v>886.57999999999981</v>
      </c>
      <c r="BQ64" s="1292">
        <f t="shared" si="20"/>
        <v>2659.7399999999993</v>
      </c>
      <c r="BR64" s="1313">
        <v>1773.16</v>
      </c>
      <c r="BS64" s="1315">
        <f t="shared" si="2"/>
        <v>0.70926400000000001</v>
      </c>
      <c r="BT64" s="1319">
        <v>1000</v>
      </c>
      <c r="BU64" s="1261" t="s">
        <v>1026</v>
      </c>
      <c r="BV64" s="1326">
        <f>'Natwest Expenses'!AO132</f>
        <v>1773.1599999999996</v>
      </c>
      <c r="BY64" s="2"/>
      <c r="BZ64" s="4"/>
      <c r="CA64" s="143"/>
      <c r="CB64" s="4"/>
      <c r="CC64" s="18"/>
    </row>
    <row r="65" spans="1:81" ht="16.5" customHeight="1" thickBot="1" x14ac:dyDescent="0.4">
      <c r="A65" s="180" t="s">
        <v>746</v>
      </c>
      <c r="B65" s="998"/>
      <c r="C65" s="180"/>
      <c r="D65" s="180"/>
      <c r="E65" s="180"/>
      <c r="F65" s="180"/>
      <c r="G65" s="741"/>
      <c r="H65" s="860"/>
      <c r="I65" s="180"/>
      <c r="J65" s="835"/>
      <c r="K65" s="835"/>
      <c r="L65" s="644"/>
      <c r="M65" s="999"/>
      <c r="N65" s="1000"/>
      <c r="O65" s="1001"/>
      <c r="P65" s="1000"/>
      <c r="Q65" s="999"/>
      <c r="R65" s="999"/>
      <c r="S65" s="180"/>
      <c r="T65" s="180"/>
      <c r="U65" s="836"/>
      <c r="V65" s="836"/>
      <c r="W65" s="860"/>
      <c r="X65" s="835"/>
      <c r="Y65" s="870"/>
      <c r="Z65" s="829"/>
      <c r="AA65" s="968"/>
      <c r="AB65" s="962"/>
      <c r="AC65" s="1002"/>
      <c r="AD65" s="964"/>
      <c r="AE65" s="965"/>
      <c r="AF65" s="966"/>
      <c r="AG65" s="967"/>
      <c r="AH65" s="968"/>
      <c r="AI65" s="967"/>
      <c r="AJ65" s="879"/>
      <c r="AK65" s="969"/>
      <c r="AL65" s="970"/>
      <c r="AM65" s="971"/>
      <c r="AN65" s="1003"/>
      <c r="AO65" s="1004"/>
      <c r="AP65" s="884"/>
      <c r="AQ65" s="885"/>
      <c r="AR65" s="1005"/>
      <c r="AS65" s="887"/>
      <c r="AT65" s="1006"/>
      <c r="AU65" s="879"/>
      <c r="AV65" s="1007"/>
      <c r="AW65" s="996"/>
      <c r="AX65" s="1008"/>
      <c r="AY65" s="1009"/>
      <c r="AZ65" s="1009"/>
      <c r="BA65" s="972"/>
      <c r="BB65" s="1010"/>
      <c r="BC65" s="995"/>
      <c r="BD65" s="996"/>
      <c r="BE65" s="851"/>
      <c r="BF65" s="1011"/>
      <c r="BG65" s="1012"/>
      <c r="BH65" s="996"/>
      <c r="BI65" s="852"/>
      <c r="BJ65" s="1013"/>
      <c r="BK65" s="1014"/>
      <c r="BL65" s="821"/>
      <c r="BM65" s="1291"/>
      <c r="BN65" s="1303">
        <v>500</v>
      </c>
      <c r="BO65" s="821"/>
      <c r="BP65" s="1292">
        <f>BV65/8*4</f>
        <v>106</v>
      </c>
      <c r="BQ65" s="1292">
        <f t="shared" si="20"/>
        <v>318</v>
      </c>
      <c r="BR65" s="1313">
        <v>212</v>
      </c>
      <c r="BS65" s="1315">
        <f t="shared" si="2"/>
        <v>0.42399999999999999</v>
      </c>
      <c r="BT65" s="1319">
        <v>250</v>
      </c>
      <c r="BU65" s="1261" t="s">
        <v>1027</v>
      </c>
      <c r="BV65" s="1326">
        <f>'Natwest Expenses'!AP132</f>
        <v>212</v>
      </c>
      <c r="BY65" s="2"/>
      <c r="BZ65" s="4"/>
      <c r="CA65" s="143"/>
      <c r="CB65" s="4"/>
      <c r="CC65" s="18"/>
    </row>
    <row r="66" spans="1:81" ht="16.5" customHeight="1" thickBot="1" x14ac:dyDescent="0.4">
      <c r="A66" s="180" t="s">
        <v>1047</v>
      </c>
      <c r="B66" s="998"/>
      <c r="C66" s="180"/>
      <c r="D66" s="180"/>
      <c r="E66" s="180"/>
      <c r="F66" s="180"/>
      <c r="G66" s="741"/>
      <c r="H66" s="860"/>
      <c r="I66" s="180"/>
      <c r="J66" s="835"/>
      <c r="K66" s="835"/>
      <c r="L66" s="644"/>
      <c r="M66" s="999"/>
      <c r="N66" s="1000"/>
      <c r="O66" s="1001"/>
      <c r="P66" s="1000"/>
      <c r="Q66" s="999"/>
      <c r="R66" s="999"/>
      <c r="S66" s="180"/>
      <c r="T66" s="180"/>
      <c r="U66" s="836"/>
      <c r="V66" s="836"/>
      <c r="W66" s="860"/>
      <c r="X66" s="835"/>
      <c r="Y66" s="870"/>
      <c r="Z66" s="829"/>
      <c r="AA66" s="968"/>
      <c r="AB66" s="962"/>
      <c r="AC66" s="1002"/>
      <c r="AD66" s="964"/>
      <c r="AE66" s="965"/>
      <c r="AF66" s="966"/>
      <c r="AG66" s="967"/>
      <c r="AH66" s="968"/>
      <c r="AI66" s="967"/>
      <c r="AJ66" s="879"/>
      <c r="AK66" s="969"/>
      <c r="AL66" s="970"/>
      <c r="AM66" s="971"/>
      <c r="AN66" s="1003"/>
      <c r="AO66" s="1004"/>
      <c r="AP66" s="884"/>
      <c r="AQ66" s="885"/>
      <c r="AR66" s="1005"/>
      <c r="AS66" s="887"/>
      <c r="AT66" s="1006"/>
      <c r="AU66" s="879"/>
      <c r="AV66" s="1007"/>
      <c r="AW66" s="996"/>
      <c r="AX66" s="1008"/>
      <c r="AY66" s="1009"/>
      <c r="AZ66" s="1009"/>
      <c r="BA66" s="972"/>
      <c r="BB66" s="1010"/>
      <c r="BC66" s="995"/>
      <c r="BD66" s="996"/>
      <c r="BE66" s="851"/>
      <c r="BF66" s="1011"/>
      <c r="BG66" s="1012"/>
      <c r="BH66" s="996"/>
      <c r="BI66" s="852"/>
      <c r="BJ66" s="1013"/>
      <c r="BK66" s="1014"/>
      <c r="BL66" s="821"/>
      <c r="BM66" s="1291"/>
      <c r="BN66" s="1303"/>
      <c r="BO66" s="821"/>
      <c r="BP66" s="1292"/>
      <c r="BQ66" s="1292"/>
      <c r="BR66" s="1313"/>
      <c r="BS66" s="1315"/>
      <c r="BT66" s="1319">
        <v>250</v>
      </c>
      <c r="BV66" s="1326"/>
      <c r="BY66" s="2"/>
      <c r="BZ66" s="4"/>
      <c r="CA66" s="143"/>
      <c r="CB66" s="4"/>
      <c r="CC66" s="18"/>
    </row>
    <row r="67" spans="1:81" ht="16" thickBot="1" x14ac:dyDescent="0.4">
      <c r="A67" s="180" t="s">
        <v>301</v>
      </c>
      <c r="B67" s="119">
        <f>SUM(B8:B52)</f>
        <v>33693.119999999995</v>
      </c>
      <c r="C67" s="183">
        <f>SUM(C8:C52)</f>
        <v>6004.5999999999995</v>
      </c>
      <c r="D67" s="1015">
        <f>C67/B67</f>
        <v>0.17821442478464447</v>
      </c>
      <c r="E67" s="1016">
        <f>SUM(E8:E52)</f>
        <v>19320.38</v>
      </c>
      <c r="F67" s="1017">
        <f>E67/B67</f>
        <v>0.57342211110161379</v>
      </c>
      <c r="G67" s="1018">
        <f>SUM(G8:G60)</f>
        <v>23017.535800000001</v>
      </c>
      <c r="H67" s="1019">
        <f>SUM(H8:H60)</f>
        <v>25398.520000000004</v>
      </c>
      <c r="I67" s="1020">
        <f>SUM(I8:I60)</f>
        <v>36813.130000000005</v>
      </c>
      <c r="J67" s="1021">
        <f>SUM(J8:J60)</f>
        <v>26238.91</v>
      </c>
      <c r="K67" s="1022"/>
      <c r="L67" s="1023">
        <f>SUM(L8:L60)</f>
        <v>34120</v>
      </c>
      <c r="M67" s="1024">
        <f>SUM(M8:M60)</f>
        <v>3205.3799999999997</v>
      </c>
      <c r="N67" s="1025">
        <f>M67/L67</f>
        <v>9.3944314185228597E-2</v>
      </c>
      <c r="O67" s="1026">
        <f>SUM(O5:O61)</f>
        <v>8649.98</v>
      </c>
      <c r="P67" s="1027">
        <f>O67/L67</f>
        <v>0.25351641266119579</v>
      </c>
      <c r="Q67" s="1028"/>
      <c r="R67" s="1028"/>
      <c r="S67" s="640"/>
      <c r="T67" s="640"/>
      <c r="U67" s="1029">
        <f>SUM(U8:U61)</f>
        <v>13741.61</v>
      </c>
      <c r="V67" s="1030">
        <f>U67/L67</f>
        <v>0.40274355216881597</v>
      </c>
      <c r="W67" s="1031">
        <f>SUM(W8:W61)</f>
        <v>23218.289999999997</v>
      </c>
      <c r="X67" s="1032">
        <f>W67/L67</f>
        <v>0.68048915592028125</v>
      </c>
      <c r="Y67" s="1033"/>
      <c r="Z67" s="1034">
        <f>SUM(Z8:Z62)</f>
        <v>32525.16</v>
      </c>
      <c r="AA67" s="1035">
        <f>SUM(AA8:AA62)</f>
        <v>4512.3899999999994</v>
      </c>
      <c r="AB67" s="1036">
        <f>AA67/Z67</f>
        <v>0.13873536671303074</v>
      </c>
      <c r="AC67" s="1037">
        <f>SUM(AC8:AC62)</f>
        <v>11454.35</v>
      </c>
      <c r="AD67" s="1038">
        <f>AC67/Z67</f>
        <v>0.35216890554881208</v>
      </c>
      <c r="AE67" s="1039">
        <f>SUM(AE6:AE62)</f>
        <v>17099.400000000001</v>
      </c>
      <c r="AF67" s="1040">
        <f t="shared" si="11"/>
        <v>28553.75</v>
      </c>
      <c r="AG67" s="1041">
        <f t="shared" si="12"/>
        <v>0.87789729550907669</v>
      </c>
      <c r="AH67" s="1042">
        <f>SUM(AH8:AH62)</f>
        <v>22106.93</v>
      </c>
      <c r="AI67" s="1041">
        <f>AH67/Z67</f>
        <v>0.6796870484265104</v>
      </c>
      <c r="AJ67" s="1043">
        <f>SUM(AJ6:AJ63)</f>
        <v>35365</v>
      </c>
      <c r="AK67" s="1044"/>
      <c r="AL67" s="1045">
        <f>SUM(AL8:AL62)</f>
        <v>9667.6</v>
      </c>
      <c r="AM67" s="1046">
        <f>SUM(AM8:AM62)</f>
        <v>3274.7099999999996</v>
      </c>
      <c r="AN67" s="1047">
        <f>SUM(AN8:AN62)</f>
        <v>19595.010000000002</v>
      </c>
      <c r="AO67" s="1047" t="e">
        <f>SUM(AO8:AO63)</f>
        <v>#REF!</v>
      </c>
      <c r="AP67" s="1048">
        <f>SUM(AP6:AP63)</f>
        <v>28984.82</v>
      </c>
      <c r="AQ67" s="1048">
        <f>SUM(AQ8:AQ63)</f>
        <v>6665.3833333333341</v>
      </c>
      <c r="AR67" s="1048" t="e">
        <f>SUM(AR8:AR63)</f>
        <v>#REF!</v>
      </c>
      <c r="AS67" s="1049">
        <f>AP67/AJ67</f>
        <v>0.81959055563410155</v>
      </c>
      <c r="AT67" s="1047"/>
      <c r="AU67" s="1050">
        <f>SUM(AU6:AU63)</f>
        <v>33849</v>
      </c>
      <c r="AV67" s="812"/>
      <c r="AW67" s="1051">
        <f>SUM(AW7:AW63)</f>
        <v>24479.18</v>
      </c>
      <c r="AX67" s="1052">
        <f>AW67/AU67</f>
        <v>0.72318768648999976</v>
      </c>
      <c r="AY67" s="1053">
        <f>SUM(AY8:AY63)</f>
        <v>7870.83</v>
      </c>
      <c r="AZ67" s="1053">
        <f>SUM(AZ8:AZ63)</f>
        <v>31726.07</v>
      </c>
      <c r="BA67" s="1052"/>
      <c r="BB67" s="1054">
        <f>SUM(BB8:BB64)</f>
        <v>33603.5</v>
      </c>
      <c r="BC67" s="775"/>
      <c r="BD67" s="1051">
        <f>SUM(BD8:BD63)</f>
        <v>19437.890000000003</v>
      </c>
      <c r="BE67" s="1051">
        <f>SUM(BE8:BE64)</f>
        <v>26541.310000000005</v>
      </c>
      <c r="BF67" s="1055">
        <f>BE67/BB67</f>
        <v>0.78983766571934488</v>
      </c>
      <c r="BG67" s="1056">
        <f>SUM(BG8:BG61)</f>
        <v>30602.399999999998</v>
      </c>
      <c r="BH67" s="1051">
        <v>22451.87</v>
      </c>
      <c r="BI67" s="1055">
        <f>BH67/BG67</f>
        <v>0.73366369957911803</v>
      </c>
      <c r="BJ67" s="1057">
        <f>SUM(BJ7:BJ64)</f>
        <v>10781.8737</v>
      </c>
      <c r="BK67" s="1058">
        <f t="shared" si="1"/>
        <v>33233.743699999999</v>
      </c>
      <c r="BL67" s="821"/>
      <c r="BM67" s="1300">
        <f>SUM(BM8:BM65)</f>
        <v>32132.36</v>
      </c>
      <c r="BN67" s="1335">
        <f>SUM(BN8:BN65)</f>
        <v>40528.425999999999</v>
      </c>
      <c r="BO67" s="1336"/>
      <c r="BP67" s="1334">
        <f>SUM(BP8:BP65)</f>
        <v>13181.852080000001</v>
      </c>
      <c r="BQ67" s="1334">
        <f>SUM(BQ8:BQ65)</f>
        <v>46743.78207999999</v>
      </c>
      <c r="BR67" s="1337">
        <f>SUM(BR8:BR66)</f>
        <v>34101.100000000006</v>
      </c>
      <c r="BS67" s="1338">
        <f t="shared" si="2"/>
        <v>0.8414119018587104</v>
      </c>
      <c r="BT67" s="1339">
        <f>SUM(BT8:BT66)</f>
        <v>44199</v>
      </c>
      <c r="BU67" s="1339"/>
      <c r="BV67" s="1334">
        <f>SUM(BV8:BV65)</f>
        <v>34101.100000000006</v>
      </c>
      <c r="BY67" s="2"/>
      <c r="BZ67" s="2"/>
      <c r="CA67" s="143"/>
      <c r="CB67" s="4"/>
      <c r="CC67" s="18"/>
    </row>
    <row r="68" spans="1:81" ht="16" thickBot="1" x14ac:dyDescent="0.4">
      <c r="A68" s="180" t="s">
        <v>243</v>
      </c>
      <c r="B68" s="1059">
        <v>33290</v>
      </c>
      <c r="C68" s="180"/>
      <c r="D68" s="180"/>
      <c r="E68" s="1060"/>
      <c r="F68" s="640"/>
      <c r="G68" s="1061"/>
      <c r="H68" s="1062"/>
      <c r="I68" s="180"/>
      <c r="J68" s="836"/>
      <c r="K68" s="836"/>
      <c r="L68" s="1063">
        <v>33820</v>
      </c>
      <c r="M68" s="999"/>
      <c r="N68" s="1000"/>
      <c r="O68" s="1064"/>
      <c r="P68" s="1065"/>
      <c r="Q68" s="999"/>
      <c r="R68" s="999"/>
      <c r="S68" s="180"/>
      <c r="T68" s="180"/>
      <c r="U68" s="836"/>
      <c r="V68" s="836"/>
      <c r="W68" s="1066"/>
      <c r="X68" s="836"/>
      <c r="Y68" s="836"/>
      <c r="Z68" s="1063">
        <v>34947</v>
      </c>
      <c r="AA68" s="647"/>
      <c r="AB68" s="647"/>
      <c r="AC68" s="180"/>
      <c r="AD68" s="180"/>
      <c r="AE68" s="647"/>
      <c r="AF68" s="647"/>
      <c r="AG68" s="647"/>
      <c r="AH68" s="646"/>
      <c r="AI68" s="1067"/>
      <c r="AJ68" s="1068">
        <v>35865</v>
      </c>
      <c r="AK68" s="647"/>
      <c r="AL68" s="1062"/>
      <c r="AM68" s="1062"/>
      <c r="AN68" s="1069"/>
      <c r="AO68" s="1069"/>
      <c r="AP68" s="1069"/>
      <c r="AQ68" s="1069"/>
      <c r="AR68" s="1069"/>
      <c r="AS68" s="628"/>
      <c r="AT68" s="1069"/>
      <c r="AU68" s="649">
        <v>45849</v>
      </c>
      <c r="AV68" s="1070"/>
      <c r="AW68" s="651"/>
      <c r="AX68" s="651"/>
      <c r="AY68" s="652"/>
      <c r="AZ68" s="651"/>
      <c r="BA68" s="651"/>
      <c r="BB68" s="649">
        <v>45849</v>
      </c>
      <c r="BC68" s="1071"/>
      <c r="BD68" s="1072">
        <v>45849</v>
      </c>
      <c r="BE68" s="1071"/>
      <c r="BF68" s="1071"/>
      <c r="BG68" s="1073">
        <v>49831</v>
      </c>
      <c r="BH68" s="1074"/>
      <c r="BI68" s="1075"/>
      <c r="BJ68" s="1075"/>
      <c r="BK68" s="1074"/>
      <c r="BL68" s="1076"/>
      <c r="BM68" s="1077"/>
      <c r="BN68" s="1329">
        <v>62288.75</v>
      </c>
      <c r="BO68" s="1330"/>
      <c r="BP68" s="1331"/>
      <c r="BQ68" s="1331"/>
      <c r="BR68" s="1331"/>
      <c r="BS68" s="1331"/>
      <c r="BT68" s="1332"/>
      <c r="BU68" s="1333"/>
      <c r="BV68" s="1334"/>
      <c r="BW68" s="144"/>
      <c r="BX68" s="144"/>
      <c r="BY68" s="2"/>
      <c r="BZ68" s="2"/>
      <c r="CA68" s="73"/>
      <c r="CB68" s="4"/>
      <c r="CC68" s="18"/>
    </row>
    <row r="69" spans="1:81" x14ac:dyDescent="0.35">
      <c r="A69" s="180"/>
      <c r="B69" s="741"/>
      <c r="C69" s="180"/>
      <c r="D69" s="180"/>
      <c r="E69" s="180"/>
      <c r="F69" s="180"/>
      <c r="G69" s="741"/>
      <c r="H69" s="1062"/>
      <c r="I69" s="180"/>
      <c r="J69" s="836"/>
      <c r="K69" s="836"/>
      <c r="L69" s="180"/>
      <c r="M69" s="999"/>
      <c r="N69" s="1000"/>
      <c r="O69" s="1078"/>
      <c r="P69" s="1000"/>
      <c r="Q69" s="999"/>
      <c r="R69" s="999"/>
      <c r="S69" s="634" t="s">
        <v>98</v>
      </c>
      <c r="T69" s="999"/>
      <c r="U69" s="836"/>
      <c r="V69" s="836"/>
      <c r="W69" s="1062"/>
      <c r="X69" s="836"/>
      <c r="Y69" s="836"/>
      <c r="Z69" s="180"/>
      <c r="AA69" s="647"/>
      <c r="AB69" s="647"/>
      <c r="AC69" s="180"/>
      <c r="AD69" s="180"/>
      <c r="AE69" s="647"/>
      <c r="AF69" s="647"/>
      <c r="AG69" s="647"/>
      <c r="AH69" s="646"/>
      <c r="AI69" s="1079"/>
      <c r="AJ69" s="628"/>
      <c r="AK69" s="647"/>
      <c r="AL69" s="180"/>
      <c r="AM69" s="180"/>
      <c r="AN69" s="1069"/>
      <c r="AO69" s="1069"/>
      <c r="AP69" s="1069"/>
      <c r="AQ69" s="1069"/>
      <c r="AR69" s="1069"/>
      <c r="AS69" s="628"/>
      <c r="AT69" s="1069"/>
      <c r="AU69" s="628"/>
      <c r="AV69" s="741"/>
      <c r="AW69" s="180"/>
      <c r="AX69" s="180"/>
      <c r="AY69" s="650"/>
      <c r="AZ69" s="180"/>
      <c r="BA69" s="180"/>
      <c r="BB69" s="647"/>
      <c r="BC69" s="1080"/>
      <c r="BD69" s="1080"/>
      <c r="BE69" s="1080"/>
      <c r="BF69" s="1080"/>
      <c r="BG69" s="1081"/>
      <c r="BH69" s="1082"/>
      <c r="BI69" s="1083"/>
      <c r="BJ69" s="1083"/>
      <c r="BK69" s="1084"/>
      <c r="BL69" s="1085"/>
      <c r="BM69" s="1082"/>
      <c r="BN69" s="1081"/>
      <c r="BO69" s="1085"/>
      <c r="BP69" s="1084"/>
      <c r="BQ69" s="1084"/>
      <c r="BR69" s="1084"/>
      <c r="BS69" s="1084"/>
      <c r="BT69" s="1253"/>
      <c r="BV69" s="1248"/>
      <c r="BW69" s="328"/>
      <c r="BX69" s="328"/>
      <c r="BY69" s="2"/>
      <c r="BZ69" s="4"/>
      <c r="CA69" s="283"/>
      <c r="CB69" s="2"/>
      <c r="CC69" s="18"/>
    </row>
    <row r="70" spans="1:81" x14ac:dyDescent="0.35">
      <c r="A70" s="14"/>
      <c r="S70" s="17"/>
      <c r="T70" s="67"/>
      <c r="Y70" s="101"/>
      <c r="BY70" s="2"/>
      <c r="BZ70" s="219"/>
      <c r="CA70" s="283"/>
      <c r="CB70" s="4"/>
      <c r="CC70" s="18"/>
    </row>
    <row r="71" spans="1:81" x14ac:dyDescent="0.35">
      <c r="A71" s="14"/>
      <c r="B71" s="83"/>
      <c r="S71" s="20"/>
      <c r="T71" s="68"/>
      <c r="Y71" s="101"/>
      <c r="AU71" s="280">
        <f>PMT(3%,30,200000)</f>
        <v>-10203.851864050515</v>
      </c>
      <c r="AV71" s="219" t="s">
        <v>215</v>
      </c>
      <c r="BY71" s="2"/>
      <c r="BZ71" s="2"/>
      <c r="CA71" s="73"/>
      <c r="CB71" s="4"/>
      <c r="CC71" s="328"/>
    </row>
    <row r="72" spans="1:81" x14ac:dyDescent="0.35">
      <c r="A72" s="7"/>
      <c r="B72" s="2"/>
      <c r="C72" s="16"/>
      <c r="D72" s="23"/>
      <c r="E72" s="66"/>
      <c r="AV72" s="18" t="s">
        <v>220</v>
      </c>
      <c r="BY72" s="2"/>
      <c r="BZ72" s="2"/>
      <c r="CA72" s="73"/>
      <c r="CB72" s="4"/>
      <c r="CC72" s="329"/>
    </row>
    <row r="73" spans="1:81" x14ac:dyDescent="0.35">
      <c r="A73" s="14"/>
      <c r="BY73" s="2"/>
      <c r="BZ73" s="2"/>
      <c r="CA73" s="73"/>
      <c r="CB73" s="2"/>
      <c r="CC73" s="330"/>
    </row>
    <row r="74" spans="1:81" x14ac:dyDescent="0.35">
      <c r="A74" s="136"/>
      <c r="B74" s="137"/>
      <c r="I74" s="7"/>
      <c r="J74" s="99"/>
      <c r="K74" s="99"/>
      <c r="S74" s="7"/>
      <c r="T74" s="7"/>
      <c r="U74" s="101"/>
      <c r="V74" s="101"/>
      <c r="W74" s="110"/>
      <c r="X74" s="101"/>
      <c r="Y74" s="29"/>
      <c r="BY74" s="7"/>
      <c r="BZ74" s="2"/>
      <c r="CA74" s="73"/>
      <c r="CB74" s="7"/>
      <c r="CC74" s="11"/>
    </row>
    <row r="75" spans="1:81" x14ac:dyDescent="0.35">
      <c r="B75" s="138"/>
      <c r="I75" s="30"/>
      <c r="J75" s="100"/>
      <c r="K75" s="100"/>
      <c r="S75" s="2"/>
      <c r="T75" s="2"/>
      <c r="U75" s="110"/>
      <c r="V75" s="111"/>
      <c r="W75" s="112"/>
      <c r="X75" s="111"/>
      <c r="Y75" s="31"/>
      <c r="BY75" s="7"/>
      <c r="BZ75" s="2"/>
      <c r="CA75" s="73"/>
      <c r="CB75" s="7"/>
      <c r="CC75" s="145"/>
    </row>
    <row r="76" spans="1:81" x14ac:dyDescent="0.35">
      <c r="B76" s="139"/>
      <c r="I76" s="2"/>
      <c r="J76" s="101"/>
      <c r="K76" s="101"/>
      <c r="S76" s="2"/>
      <c r="T76" s="2"/>
      <c r="U76" s="110"/>
      <c r="V76" s="111"/>
      <c r="W76" s="112"/>
      <c r="X76" s="111"/>
      <c r="Y76" s="31"/>
      <c r="BY76" s="2"/>
      <c r="BZ76" s="2"/>
      <c r="CA76" s="73"/>
      <c r="CB76" s="2"/>
      <c r="CC76" s="144"/>
    </row>
    <row r="77" spans="1:81" x14ac:dyDescent="0.35">
      <c r="A77" s="14"/>
      <c r="B77" s="83"/>
      <c r="I77" s="2"/>
      <c r="J77" s="101"/>
      <c r="K77" s="101"/>
      <c r="S77" s="2"/>
      <c r="T77" s="4"/>
      <c r="U77" s="112"/>
      <c r="V77" s="111"/>
      <c r="W77" s="112"/>
      <c r="X77" s="111"/>
      <c r="Y77" s="118"/>
      <c r="BY77" s="2"/>
      <c r="BZ77" s="2"/>
      <c r="CA77" s="73"/>
      <c r="CB77" s="2"/>
      <c r="CC77" s="144"/>
    </row>
    <row r="78" spans="1:81" x14ac:dyDescent="0.35">
      <c r="A78" s="7"/>
      <c r="B78" s="2"/>
      <c r="I78" s="2"/>
      <c r="J78" s="101"/>
      <c r="K78" s="101"/>
      <c r="S78" s="2"/>
      <c r="T78" s="2"/>
      <c r="U78" s="112"/>
      <c r="V78" s="111"/>
      <c r="W78" s="112"/>
      <c r="X78" s="111"/>
      <c r="Y78" s="118"/>
      <c r="BY78" s="2"/>
      <c r="BZ78" s="2"/>
      <c r="CA78" s="73"/>
      <c r="CB78" s="2"/>
      <c r="CC78" s="31"/>
    </row>
    <row r="79" spans="1:81" x14ac:dyDescent="0.35">
      <c r="I79" s="2"/>
      <c r="J79" s="101"/>
      <c r="K79" s="101"/>
      <c r="S79" s="2"/>
      <c r="T79" s="2"/>
      <c r="U79" s="110"/>
      <c r="V79" s="111"/>
      <c r="W79" s="112"/>
      <c r="X79" s="111"/>
      <c r="Y79" s="118"/>
      <c r="BY79" s="2"/>
      <c r="BZ79" s="2"/>
      <c r="CA79" s="73"/>
      <c r="CB79" s="2"/>
      <c r="CC79" s="144"/>
    </row>
    <row r="80" spans="1:81" x14ac:dyDescent="0.35">
      <c r="A80" s="135"/>
      <c r="B80" s="137"/>
      <c r="I80" s="2"/>
      <c r="J80" s="101"/>
      <c r="K80" s="101"/>
      <c r="S80" s="2"/>
      <c r="T80" s="4"/>
      <c r="U80" s="112"/>
      <c r="V80" s="111"/>
      <c r="W80" s="112"/>
      <c r="X80" s="111"/>
      <c r="Y80" s="118"/>
      <c r="BY80" s="7"/>
      <c r="BZ80" s="2"/>
      <c r="CA80" s="73"/>
      <c r="CB80" s="7"/>
      <c r="CC80" s="33"/>
    </row>
    <row r="81" spans="1:81" x14ac:dyDescent="0.35">
      <c r="C81" s="138">
        <v>30000</v>
      </c>
      <c r="I81" s="2"/>
      <c r="J81" s="101"/>
      <c r="K81" s="101"/>
      <c r="S81" s="2"/>
      <c r="T81" s="2"/>
      <c r="U81" s="112"/>
      <c r="V81" s="111"/>
      <c r="W81" s="112"/>
      <c r="X81" s="111"/>
      <c r="Y81" s="118"/>
      <c r="BY81" s="4"/>
      <c r="BZ81" s="210"/>
      <c r="CA81" s="4"/>
      <c r="CB81" s="2"/>
      <c r="CC81" s="111"/>
    </row>
    <row r="82" spans="1:81" x14ac:dyDescent="0.35">
      <c r="B82" s="138"/>
      <c r="C82" s="102"/>
      <c r="I82" s="2"/>
      <c r="J82" s="101"/>
      <c r="K82" s="101"/>
      <c r="S82" s="2"/>
      <c r="T82" s="2"/>
      <c r="U82" s="112"/>
      <c r="V82" s="111"/>
      <c r="W82" s="112"/>
      <c r="X82" s="111"/>
      <c r="Y82" s="118"/>
      <c r="BY82" s="4"/>
      <c r="BZ82" s="210"/>
      <c r="CA82" s="4"/>
      <c r="CB82" s="2"/>
      <c r="CC82" s="111"/>
    </row>
    <row r="83" spans="1:81" x14ac:dyDescent="0.35">
      <c r="B83" s="138"/>
      <c r="C83" s="102"/>
      <c r="I83" s="2"/>
      <c r="J83" s="101"/>
      <c r="K83" s="101"/>
      <c r="S83" s="2"/>
      <c r="T83" s="2"/>
      <c r="U83" s="110"/>
      <c r="V83" s="111"/>
      <c r="W83" s="112"/>
      <c r="X83" s="111"/>
      <c r="Y83" s="31"/>
      <c r="BY83" s="14"/>
      <c r="BZ83" s="1"/>
      <c r="CB83" s="2"/>
      <c r="CC83" s="102"/>
    </row>
    <row r="84" spans="1:81" x14ac:dyDescent="0.35">
      <c r="B84" s="138"/>
      <c r="C84" s="102"/>
      <c r="I84" s="2"/>
      <c r="J84" s="101"/>
      <c r="K84" s="101"/>
      <c r="S84" s="2"/>
      <c r="T84" s="2"/>
      <c r="U84" s="110"/>
      <c r="V84" s="111"/>
      <c r="W84" s="112"/>
      <c r="X84" s="111"/>
      <c r="Y84" s="31"/>
      <c r="BY84" s="136"/>
      <c r="BZ84" s="137"/>
      <c r="CB84" s="2"/>
      <c r="CC84" s="273"/>
    </row>
    <row r="85" spans="1:81" x14ac:dyDescent="0.35">
      <c r="B85" s="139"/>
      <c r="C85" s="102"/>
      <c r="I85" s="2"/>
      <c r="J85" s="101"/>
      <c r="K85" s="101"/>
      <c r="S85" s="2"/>
      <c r="T85" s="2"/>
      <c r="U85" s="110"/>
      <c r="V85" s="111"/>
      <c r="W85" s="112"/>
      <c r="X85" s="111"/>
      <c r="Y85" s="31"/>
      <c r="BZ85" s="138"/>
      <c r="CB85" s="2"/>
      <c r="CC85" s="274"/>
    </row>
    <row r="86" spans="1:81" x14ac:dyDescent="0.35">
      <c r="B86" s="138"/>
      <c r="C86" s="139">
        <f>SUM(B83:B85)</f>
        <v>0</v>
      </c>
      <c r="I86" s="2"/>
      <c r="J86" s="101"/>
      <c r="K86" s="101"/>
      <c r="S86" s="2"/>
      <c r="T86" s="2"/>
      <c r="U86" s="110"/>
      <c r="V86" s="111"/>
      <c r="W86" s="112"/>
      <c r="X86" s="111"/>
      <c r="Y86" s="31"/>
      <c r="BZ86" s="138"/>
      <c r="CB86" s="2"/>
      <c r="CC86" s="274"/>
    </row>
    <row r="87" spans="1:81" x14ac:dyDescent="0.35">
      <c r="A87" s="14"/>
      <c r="C87" s="83">
        <f>SUM(C81:C86)</f>
        <v>30000</v>
      </c>
      <c r="I87" s="2"/>
      <c r="J87" s="101"/>
      <c r="K87" s="101"/>
      <c r="S87" s="2"/>
      <c r="T87" s="2"/>
      <c r="U87" s="110"/>
      <c r="V87" s="101"/>
      <c r="W87" s="110"/>
      <c r="X87" s="101"/>
      <c r="Y87" s="29"/>
      <c r="BY87" s="14"/>
      <c r="BZ87" s="83"/>
      <c r="CB87" s="2"/>
      <c r="CC87" s="275"/>
    </row>
    <row r="88" spans="1:81" x14ac:dyDescent="0.35">
      <c r="C88" s="102"/>
      <c r="I88" s="7"/>
      <c r="J88" s="99"/>
      <c r="K88" s="99"/>
      <c r="S88" s="2"/>
      <c r="T88" s="2"/>
      <c r="U88" s="110"/>
      <c r="V88" s="101"/>
      <c r="W88" s="110"/>
      <c r="X88" s="101"/>
      <c r="Y88" s="33"/>
      <c r="BY88" s="7"/>
      <c r="BZ88" s="2"/>
      <c r="CB88" s="2"/>
      <c r="CC88" s="101"/>
    </row>
    <row r="89" spans="1:81" x14ac:dyDescent="0.35">
      <c r="A89" s="135"/>
      <c r="B89" s="137"/>
      <c r="C89" s="141"/>
      <c r="D89" s="89"/>
      <c r="E89" s="89"/>
      <c r="F89" s="89"/>
      <c r="G89" s="140"/>
      <c r="I89" s="7"/>
      <c r="J89" s="99"/>
      <c r="K89" s="99"/>
      <c r="S89" s="2"/>
      <c r="T89" s="2"/>
      <c r="U89" s="110"/>
      <c r="V89" s="101"/>
      <c r="W89" s="110"/>
      <c r="X89" s="101"/>
      <c r="Y89" s="31"/>
      <c r="BY89" s="4"/>
      <c r="BZ89" s="1"/>
      <c r="CB89" s="2"/>
      <c r="CC89" s="102"/>
    </row>
    <row r="90" spans="1:81" x14ac:dyDescent="0.35">
      <c r="C90" s="90">
        <v>30000</v>
      </c>
      <c r="D90" s="89"/>
      <c r="E90" s="89"/>
      <c r="F90" s="89"/>
      <c r="G90" s="140"/>
      <c r="I90" s="2"/>
      <c r="J90" s="101"/>
      <c r="K90" s="101"/>
      <c r="S90" s="2"/>
      <c r="T90" s="2"/>
      <c r="U90" s="110"/>
      <c r="V90" s="101"/>
      <c r="W90" s="110"/>
      <c r="X90" s="101"/>
      <c r="Y90" s="32"/>
      <c r="BY90" s="135"/>
      <c r="BZ90" s="137"/>
      <c r="CB90" s="2"/>
      <c r="CC90" s="273"/>
    </row>
    <row r="91" spans="1:81" x14ac:dyDescent="0.35">
      <c r="B91" s="138"/>
      <c r="C91" s="209">
        <v>0</v>
      </c>
      <c r="D91" s="89"/>
      <c r="E91" s="89"/>
      <c r="F91" s="89"/>
      <c r="G91" s="140"/>
      <c r="I91" s="2"/>
      <c r="J91" s="101"/>
      <c r="K91" s="101"/>
      <c r="S91" s="2"/>
      <c r="T91" s="2"/>
      <c r="U91" s="110"/>
      <c r="V91" s="101"/>
      <c r="W91" s="110"/>
      <c r="X91" s="101"/>
      <c r="Y91" s="31"/>
      <c r="BZ91" s="1"/>
      <c r="CA91" s="138"/>
      <c r="CB91" s="2"/>
      <c r="CC91" s="102"/>
    </row>
    <row r="92" spans="1:81" x14ac:dyDescent="0.35">
      <c r="B92" s="138"/>
      <c r="C92" s="142"/>
      <c r="D92" s="89"/>
      <c r="E92" s="89"/>
      <c r="F92" s="89"/>
      <c r="G92" s="140"/>
      <c r="BZ92" s="138"/>
      <c r="CA92" s="102"/>
      <c r="CB92" s="2"/>
      <c r="CC92" s="274"/>
    </row>
    <row r="93" spans="1:81" x14ac:dyDescent="0.35">
      <c r="A93" s="14"/>
      <c r="C93" s="91">
        <f>SUM(C90:C92)</f>
        <v>30000</v>
      </c>
      <c r="D93" s="89"/>
      <c r="E93" s="89"/>
      <c r="F93" s="89"/>
      <c r="G93" s="140"/>
      <c r="BZ93" s="138"/>
      <c r="CA93" s="102"/>
      <c r="CB93" s="2"/>
      <c r="CC93" s="274"/>
    </row>
    <row r="94" spans="1:81" x14ac:dyDescent="0.35">
      <c r="BZ94" s="138"/>
      <c r="CA94" s="102"/>
      <c r="CB94" s="2"/>
      <c r="CC94" s="274"/>
    </row>
    <row r="95" spans="1:81" x14ac:dyDescent="0.35">
      <c r="BZ95" s="138"/>
      <c r="CA95" s="102"/>
      <c r="CB95" s="2"/>
      <c r="CC95" s="274"/>
    </row>
    <row r="96" spans="1:81" x14ac:dyDescent="0.35">
      <c r="BZ96" s="138"/>
      <c r="CA96" s="138"/>
      <c r="CB96" s="2"/>
      <c r="CC96" s="274"/>
    </row>
    <row r="97" spans="77:81" x14ac:dyDescent="0.35">
      <c r="BY97" s="14"/>
      <c r="BZ97" s="1"/>
      <c r="CA97" s="83"/>
      <c r="CB97" s="2"/>
      <c r="CC97" s="102"/>
    </row>
    <row r="98" spans="77:81" x14ac:dyDescent="0.35">
      <c r="BY98" s="4"/>
      <c r="BZ98" s="1"/>
      <c r="CA98" s="102"/>
      <c r="CB98" s="2"/>
      <c r="CC98" s="102"/>
    </row>
    <row r="99" spans="77:81" x14ac:dyDescent="0.35">
      <c r="BY99" s="135"/>
      <c r="BZ99" s="137"/>
      <c r="CA99" s="102"/>
      <c r="CB99" s="2"/>
      <c r="CC99" s="273"/>
    </row>
    <row r="100" spans="77:81" x14ac:dyDescent="0.35">
      <c r="BZ100" s="1"/>
      <c r="CA100" s="138"/>
      <c r="CB100" s="2"/>
      <c r="CC100" s="102"/>
    </row>
    <row r="101" spans="77:81" x14ac:dyDescent="0.35">
      <c r="BZ101" s="138"/>
      <c r="CA101" s="331"/>
      <c r="CB101" s="2"/>
      <c r="CC101" s="274"/>
    </row>
    <row r="102" spans="77:81" x14ac:dyDescent="0.35">
      <c r="BZ102" s="138"/>
      <c r="CA102" s="138"/>
      <c r="CB102" s="2"/>
      <c r="CC102" s="274"/>
    </row>
    <row r="103" spans="77:81" x14ac:dyDescent="0.35">
      <c r="BY103" s="14"/>
      <c r="BZ103" s="1"/>
      <c r="CA103" s="83"/>
      <c r="CB103" s="2"/>
      <c r="CC103" s="102"/>
    </row>
    <row r="116" spans="29:29" x14ac:dyDescent="0.35">
      <c r="AC116"/>
    </row>
    <row r="125" spans="29:29" x14ac:dyDescent="0.35">
      <c r="AC125"/>
    </row>
    <row r="131" spans="29:33" x14ac:dyDescent="0.35">
      <c r="AC131"/>
      <c r="AD131" s="1"/>
      <c r="AE131"/>
      <c r="AF131"/>
      <c r="AG131"/>
    </row>
    <row r="132" spans="29:33" x14ac:dyDescent="0.35">
      <c r="AC132"/>
      <c r="AD132" s="1"/>
      <c r="AE132"/>
      <c r="AF132"/>
      <c r="AG132"/>
    </row>
    <row r="133" spans="29:33" x14ac:dyDescent="0.35">
      <c r="AC133"/>
      <c r="AD133" s="1"/>
      <c r="AE133"/>
      <c r="AF133"/>
      <c r="AG133"/>
    </row>
  </sheetData>
  <phoneticPr fontId="50" type="noConversion"/>
  <pageMargins left="0.70866141732283472" right="0.70866141732283472" top="0.74803149606299213" bottom="0.74803149606299213"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CC95-4EFD-49DE-8954-0F01729EB5B9}">
  <sheetPr>
    <pageSetUpPr fitToPage="1"/>
  </sheetPr>
  <dimension ref="A1:Q137"/>
  <sheetViews>
    <sheetView topLeftCell="B1" workbookViewId="0">
      <selection activeCell="M11" sqref="M11"/>
    </sheetView>
  </sheetViews>
  <sheetFormatPr defaultColWidth="9.1796875" defaultRowHeight="14.5" x14ac:dyDescent="0.35"/>
  <cols>
    <col min="1" max="1" width="14.81640625" style="550" customWidth="1"/>
    <col min="2" max="2" width="11" style="552" customWidth="1"/>
    <col min="3" max="3" width="8.81640625" style="550" customWidth="1"/>
    <col min="4" max="4" width="24.1796875" style="552" customWidth="1"/>
    <col min="5" max="5" width="35" style="552" customWidth="1"/>
    <col min="6" max="7" width="9.1796875" style="550"/>
    <col min="8" max="9" width="10.7265625" style="553" customWidth="1"/>
    <col min="10" max="10" width="11.81640625" style="554" customWidth="1"/>
    <col min="11" max="11" width="8.7265625" style="554" bestFit="1" customWidth="1"/>
    <col min="12" max="12" width="7.81640625" style="555" bestFit="1" customWidth="1"/>
    <col min="13" max="13" width="7.54296875" style="554" customWidth="1"/>
    <col min="14" max="14" width="10.7265625" style="555" bestFit="1" customWidth="1"/>
    <col min="15" max="15" width="13.7265625" style="552" customWidth="1"/>
    <col min="16" max="228" width="5.54296875" style="552" customWidth="1"/>
    <col min="229" max="16384" width="9.1796875" style="552"/>
  </cols>
  <sheetData>
    <row r="1" spans="1:15" ht="15.5" x14ac:dyDescent="0.35">
      <c r="B1" s="34" t="s">
        <v>784</v>
      </c>
      <c r="C1" s="551"/>
      <c r="D1" s="34"/>
    </row>
    <row r="2" spans="1:15" ht="15.5" x14ac:dyDescent="0.35">
      <c r="B2" s="34"/>
      <c r="C2" s="551"/>
      <c r="D2" s="34"/>
      <c r="H2" s="553">
        <v>20479080</v>
      </c>
      <c r="I2" s="553">
        <v>50813.98</v>
      </c>
    </row>
    <row r="3" spans="1:15" ht="15.5" x14ac:dyDescent="0.35">
      <c r="B3" s="34"/>
      <c r="C3" s="551"/>
      <c r="D3" s="34"/>
      <c r="E3" t="s">
        <v>783</v>
      </c>
      <c r="H3" s="553">
        <v>20479077</v>
      </c>
      <c r="I3" s="553">
        <v>15923.82</v>
      </c>
      <c r="J3" s="556">
        <f>SUM(I2:I3)</f>
        <v>66737.8</v>
      </c>
    </row>
    <row r="4" spans="1:15" ht="15" thickBot="1" x14ac:dyDescent="0.4">
      <c r="J4" s="557"/>
      <c r="K4" s="557"/>
      <c r="L4" s="558"/>
      <c r="M4" s="557"/>
      <c r="N4" s="563"/>
    </row>
    <row r="5" spans="1:15" ht="26" x14ac:dyDescent="0.35">
      <c r="A5" s="1" t="s">
        <v>291</v>
      </c>
      <c r="B5" s="564" t="s">
        <v>53</v>
      </c>
      <c r="C5" s="565" t="s">
        <v>54</v>
      </c>
      <c r="D5" s="566" t="s">
        <v>353</v>
      </c>
      <c r="E5" s="566" t="s">
        <v>354</v>
      </c>
      <c r="F5" s="567" t="s">
        <v>103</v>
      </c>
      <c r="G5" s="613" t="s">
        <v>355</v>
      </c>
      <c r="H5" s="614" t="s">
        <v>356</v>
      </c>
      <c r="I5" s="614" t="s">
        <v>357</v>
      </c>
      <c r="J5" s="569" t="s">
        <v>81</v>
      </c>
      <c r="K5" s="570" t="s">
        <v>57</v>
      </c>
      <c r="L5" s="571" t="s">
        <v>58</v>
      </c>
      <c r="M5" s="574" t="s">
        <v>352</v>
      </c>
      <c r="N5" s="577" t="s">
        <v>71</v>
      </c>
      <c r="O5" s="550"/>
    </row>
    <row r="6" spans="1:15" x14ac:dyDescent="0.35">
      <c r="A6" s="550">
        <v>0</v>
      </c>
      <c r="B6" s="612">
        <v>45473</v>
      </c>
      <c r="C6" s="550">
        <v>0</v>
      </c>
      <c r="D6" t="s">
        <v>971</v>
      </c>
      <c r="E6" t="s">
        <v>969</v>
      </c>
      <c r="F6" s="1" t="s">
        <v>861</v>
      </c>
      <c r="H6" s="553">
        <v>18</v>
      </c>
      <c r="I6" s="553">
        <v>18</v>
      </c>
      <c r="J6" s="578">
        <f>J3+G6-H6</f>
        <v>66719.8</v>
      </c>
      <c r="K6" s="579">
        <f t="shared" ref="K6:K19" si="0">SUM(L6:N6)</f>
        <v>18</v>
      </c>
      <c r="L6" s="580"/>
      <c r="M6" s="581">
        <v>18</v>
      </c>
      <c r="N6" s="582"/>
      <c r="O6" s="559"/>
    </row>
    <row r="7" spans="1:15" x14ac:dyDescent="0.35">
      <c r="A7" s="550">
        <v>0</v>
      </c>
      <c r="B7" s="612">
        <v>45473</v>
      </c>
      <c r="C7" s="550">
        <v>0</v>
      </c>
      <c r="D7" t="s">
        <v>972</v>
      </c>
      <c r="E7" t="s">
        <v>968</v>
      </c>
      <c r="F7" s="1" t="s">
        <v>970</v>
      </c>
      <c r="G7" s="550">
        <v>348.39</v>
      </c>
      <c r="J7" s="578">
        <f>J6+G7-H7</f>
        <v>67068.19</v>
      </c>
      <c r="K7" s="579">
        <f t="shared" si="0"/>
        <v>0</v>
      </c>
      <c r="L7" s="580"/>
      <c r="M7" s="581"/>
      <c r="N7" s="582"/>
      <c r="O7" s="559"/>
    </row>
    <row r="8" spans="1:15" x14ac:dyDescent="0.35">
      <c r="A8" s="550">
        <v>0</v>
      </c>
      <c r="B8" s="583">
        <v>45565</v>
      </c>
      <c r="C8" s="584">
        <v>0</v>
      </c>
      <c r="D8" s="35" t="s">
        <v>971</v>
      </c>
      <c r="E8" s="35" t="s">
        <v>969</v>
      </c>
      <c r="F8" s="1" t="s">
        <v>973</v>
      </c>
      <c r="H8" s="585">
        <v>18</v>
      </c>
      <c r="I8" s="585">
        <v>18</v>
      </c>
      <c r="J8" s="578">
        <f t="shared" ref="J8:J19" si="1">J7+G8-H8</f>
        <v>67050.19</v>
      </c>
      <c r="K8" s="579">
        <f t="shared" si="0"/>
        <v>18</v>
      </c>
      <c r="L8" s="580"/>
      <c r="M8" s="581">
        <v>18</v>
      </c>
      <c r="N8" s="582"/>
      <c r="O8" s="559"/>
    </row>
    <row r="9" spans="1:15" x14ac:dyDescent="0.35">
      <c r="A9" s="550">
        <v>0</v>
      </c>
      <c r="B9" s="583">
        <v>45565</v>
      </c>
      <c r="C9" s="584">
        <v>0</v>
      </c>
      <c r="D9" s="35" t="s">
        <v>972</v>
      </c>
      <c r="E9" s="35" t="s">
        <v>968</v>
      </c>
      <c r="F9" s="1" t="s">
        <v>974</v>
      </c>
      <c r="G9" s="550">
        <v>354.63</v>
      </c>
      <c r="H9" s="585"/>
      <c r="I9" s="585"/>
      <c r="J9" s="578">
        <f t="shared" si="1"/>
        <v>67404.820000000007</v>
      </c>
      <c r="K9" s="579">
        <f t="shared" si="0"/>
        <v>0</v>
      </c>
      <c r="L9" s="580"/>
      <c r="M9" s="581"/>
      <c r="N9" s="582"/>
      <c r="O9" s="559"/>
    </row>
    <row r="10" spans="1:15" x14ac:dyDescent="0.35">
      <c r="A10" s="550">
        <v>0</v>
      </c>
      <c r="B10" s="583">
        <v>45657</v>
      </c>
      <c r="C10" s="584">
        <v>0</v>
      </c>
      <c r="D10" s="35" t="s">
        <v>972</v>
      </c>
      <c r="E10" s="35" t="s">
        <v>968</v>
      </c>
      <c r="F10" s="1" t="s">
        <v>1064</v>
      </c>
      <c r="G10" s="1">
        <v>345.02</v>
      </c>
      <c r="H10" s="585"/>
      <c r="I10" s="585"/>
      <c r="J10" s="578">
        <f t="shared" si="1"/>
        <v>67749.840000000011</v>
      </c>
      <c r="K10" s="579">
        <f t="shared" si="0"/>
        <v>0</v>
      </c>
      <c r="L10" s="580"/>
      <c r="M10" s="581"/>
      <c r="N10" s="582"/>
      <c r="O10" s="559"/>
    </row>
    <row r="11" spans="1:15" x14ac:dyDescent="0.35">
      <c r="A11" s="550">
        <v>0</v>
      </c>
      <c r="B11" s="583">
        <v>45747</v>
      </c>
      <c r="C11" s="584">
        <v>0</v>
      </c>
      <c r="D11" s="35" t="s">
        <v>972</v>
      </c>
      <c r="E11" s="35" t="s">
        <v>968</v>
      </c>
      <c r="F11" s="1" t="s">
        <v>1143</v>
      </c>
      <c r="G11" s="1">
        <v>326.52</v>
      </c>
      <c r="H11" s="585"/>
      <c r="I11" s="585"/>
      <c r="J11" s="578">
        <f>J10+G11-H11</f>
        <v>68076.360000000015</v>
      </c>
      <c r="K11" s="579">
        <f t="shared" si="0"/>
        <v>0</v>
      </c>
      <c r="L11" s="580"/>
      <c r="M11" s="581"/>
      <c r="N11" s="582"/>
      <c r="O11" s="559"/>
    </row>
    <row r="12" spans="1:15" x14ac:dyDescent="0.35">
      <c r="B12" s="583"/>
      <c r="C12" s="584"/>
      <c r="D12" s="35"/>
      <c r="E12" s="35"/>
      <c r="F12" s="1"/>
      <c r="G12" s="1"/>
      <c r="H12" s="585"/>
      <c r="I12" s="585"/>
      <c r="J12" s="578">
        <f t="shared" si="1"/>
        <v>68076.360000000015</v>
      </c>
      <c r="K12" s="579">
        <f t="shared" si="0"/>
        <v>0</v>
      </c>
      <c r="L12" s="580"/>
      <c r="M12" s="581"/>
      <c r="N12" s="582"/>
      <c r="O12" s="559"/>
    </row>
    <row r="13" spans="1:15" x14ac:dyDescent="0.35">
      <c r="B13" s="583"/>
      <c r="C13" s="584"/>
      <c r="D13" s="35"/>
      <c r="E13" s="35"/>
      <c r="F13" s="1"/>
      <c r="G13" s="1"/>
      <c r="H13" s="585"/>
      <c r="I13" s="585"/>
      <c r="J13" s="578">
        <f t="shared" si="1"/>
        <v>68076.360000000015</v>
      </c>
      <c r="K13" s="579">
        <f t="shared" si="0"/>
        <v>0</v>
      </c>
      <c r="L13" s="580"/>
      <c r="M13" s="581"/>
      <c r="N13" s="582"/>
      <c r="O13" s="559"/>
    </row>
    <row r="14" spans="1:15" x14ac:dyDescent="0.35">
      <c r="B14" s="583"/>
      <c r="C14" s="584"/>
      <c r="D14" s="35"/>
      <c r="E14" s="35"/>
      <c r="F14" s="1"/>
      <c r="G14" s="1"/>
      <c r="H14" s="585"/>
      <c r="I14" s="585"/>
      <c r="J14" s="578">
        <f t="shared" si="1"/>
        <v>68076.360000000015</v>
      </c>
      <c r="K14" s="579">
        <f t="shared" si="0"/>
        <v>0</v>
      </c>
      <c r="L14" s="580"/>
      <c r="M14" s="581"/>
      <c r="N14" s="582"/>
      <c r="O14" s="559"/>
    </row>
    <row r="15" spans="1:15" x14ac:dyDescent="0.35">
      <c r="B15" s="583"/>
      <c r="C15" s="584"/>
      <c r="D15" s="35"/>
      <c r="E15" s="35"/>
      <c r="F15" s="1"/>
      <c r="G15" s="1"/>
      <c r="H15" s="585"/>
      <c r="I15" s="585"/>
      <c r="J15" s="578">
        <f t="shared" si="1"/>
        <v>68076.360000000015</v>
      </c>
      <c r="K15" s="579">
        <f t="shared" si="0"/>
        <v>0</v>
      </c>
      <c r="L15" s="580"/>
      <c r="M15" s="581"/>
      <c r="N15" s="582"/>
      <c r="O15" s="559"/>
    </row>
    <row r="16" spans="1:15" x14ac:dyDescent="0.35">
      <c r="B16" s="583"/>
      <c r="C16" s="584"/>
      <c r="D16" s="35"/>
      <c r="E16" s="35"/>
      <c r="F16" s="1"/>
      <c r="G16" s="1"/>
      <c r="H16" s="585"/>
      <c r="I16" s="585"/>
      <c r="J16" s="578">
        <f t="shared" si="1"/>
        <v>68076.360000000015</v>
      </c>
      <c r="K16" s="579">
        <f t="shared" si="0"/>
        <v>0</v>
      </c>
      <c r="L16" s="580"/>
      <c r="M16" s="581"/>
      <c r="N16" s="582"/>
      <c r="O16" s="559"/>
    </row>
    <row r="17" spans="2:17" x14ac:dyDescent="0.35">
      <c r="B17" s="583"/>
      <c r="C17" s="584"/>
      <c r="D17" s="35"/>
      <c r="E17" s="35"/>
      <c r="F17" s="1"/>
      <c r="G17" s="1"/>
      <c r="H17" s="585"/>
      <c r="I17" s="585"/>
      <c r="J17" s="578">
        <f t="shared" si="1"/>
        <v>68076.360000000015</v>
      </c>
      <c r="K17" s="579">
        <f t="shared" si="0"/>
        <v>0</v>
      </c>
      <c r="L17" s="580"/>
      <c r="M17" s="581"/>
      <c r="N17" s="582"/>
      <c r="O17" s="559"/>
    </row>
    <row r="18" spans="2:17" x14ac:dyDescent="0.35">
      <c r="B18" s="583"/>
      <c r="C18" s="584"/>
      <c r="D18" s="35"/>
      <c r="E18" s="35"/>
      <c r="F18" s="1"/>
      <c r="G18" s="1"/>
      <c r="H18" s="585"/>
      <c r="I18" s="585"/>
      <c r="J18" s="578">
        <f t="shared" si="1"/>
        <v>68076.360000000015</v>
      </c>
      <c r="K18" s="579">
        <f t="shared" si="0"/>
        <v>0</v>
      </c>
      <c r="L18" s="580"/>
      <c r="M18" s="581"/>
      <c r="N18" s="582"/>
      <c r="O18" s="559"/>
    </row>
    <row r="19" spans="2:17" x14ac:dyDescent="0.35">
      <c r="B19" s="583"/>
      <c r="C19" s="584"/>
      <c r="D19" s="35"/>
      <c r="E19" s="35"/>
      <c r="F19" s="1"/>
      <c r="G19" s="1"/>
      <c r="H19" s="585"/>
      <c r="I19" s="585"/>
      <c r="J19" s="578">
        <f t="shared" si="1"/>
        <v>68076.360000000015</v>
      </c>
      <c r="K19" s="579">
        <f t="shared" si="0"/>
        <v>0</v>
      </c>
      <c r="L19" s="580"/>
      <c r="M19" s="581"/>
      <c r="N19" s="582"/>
      <c r="O19" s="559"/>
    </row>
    <row r="20" spans="2:17" ht="15" thickBot="1" x14ac:dyDescent="0.4">
      <c r="B20" s="583"/>
      <c r="C20" s="586"/>
      <c r="D20" s="35"/>
      <c r="E20" s="615" t="s">
        <v>358</v>
      </c>
      <c r="F20" s="616"/>
      <c r="G20" s="587">
        <f>SUM(G6:G19)</f>
        <v>1374.56</v>
      </c>
      <c r="H20" s="587">
        <f>SUM(H6:H19)</f>
        <v>36</v>
      </c>
      <c r="I20" s="587">
        <f>SUM(I6:I19)</f>
        <v>36</v>
      </c>
      <c r="J20" s="587">
        <f>J19</f>
        <v>68076.360000000015</v>
      </c>
      <c r="K20" s="587">
        <f>SUM(K6:K19)</f>
        <v>36</v>
      </c>
      <c r="L20" s="587">
        <f>SUM(L6:L19)</f>
        <v>0</v>
      </c>
      <c r="M20" s="1250">
        <f>SUM(M6:M19)</f>
        <v>36</v>
      </c>
      <c r="N20" s="587">
        <f>SUM(N6:N19)</f>
        <v>0</v>
      </c>
      <c r="O20" s="36"/>
      <c r="P20" s="36"/>
      <c r="Q20" s="36"/>
    </row>
    <row r="21" spans="2:17" ht="15" thickTop="1" x14ac:dyDescent="0.35">
      <c r="B21" s="588"/>
      <c r="C21" s="586"/>
      <c r="D21" s="35"/>
      <c r="E21" s="35"/>
      <c r="H21" s="585"/>
      <c r="I21" s="585"/>
      <c r="J21" s="589"/>
      <c r="K21" s="590"/>
      <c r="L21" s="37"/>
      <c r="M21" s="591"/>
      <c r="N21" s="592"/>
      <c r="O21" s="36"/>
      <c r="P21" s="36"/>
      <c r="Q21" s="36"/>
    </row>
    <row r="22" spans="2:17" ht="15" thickBot="1" x14ac:dyDescent="0.4">
      <c r="B22" s="593"/>
      <c r="C22" s="594"/>
      <c r="D22" s="595"/>
      <c r="E22" s="595"/>
      <c r="F22" s="596"/>
      <c r="G22" s="596"/>
      <c r="H22" s="597"/>
      <c r="I22" s="597"/>
      <c r="J22" s="598"/>
      <c r="K22" s="599"/>
      <c r="L22" s="600"/>
      <c r="M22" s="602"/>
      <c r="N22" s="604"/>
      <c r="O22" s="36"/>
      <c r="P22" s="36"/>
      <c r="Q22" s="36"/>
    </row>
    <row r="23" spans="2:17" x14ac:dyDescent="0.35">
      <c r="B23" s="39"/>
      <c r="C23" s="586"/>
      <c r="D23" s="35"/>
      <c r="E23" s="35"/>
      <c r="H23" s="585"/>
      <c r="I23" s="585"/>
      <c r="J23" s="591"/>
      <c r="K23" s="591"/>
      <c r="L23" s="37"/>
      <c r="M23" s="591"/>
      <c r="N23" s="37"/>
      <c r="O23" s="36"/>
      <c r="P23" s="36"/>
      <c r="Q23" s="36"/>
    </row>
    <row r="24" spans="2:17" ht="15" thickBot="1" x14ac:dyDescent="0.4">
      <c r="B24" s="35" t="s">
        <v>73</v>
      </c>
      <c r="C24" s="586"/>
      <c r="F24" s="550" t="s">
        <v>762</v>
      </c>
      <c r="G24" s="550">
        <f>SUM(G10:G15)</f>
        <v>671.54</v>
      </c>
      <c r="J24" s="605">
        <f>J20</f>
        <v>68076.360000000015</v>
      </c>
      <c r="K24" s="591"/>
      <c r="L24" s="37"/>
      <c r="M24" s="591"/>
      <c r="N24" s="37"/>
      <c r="O24" s="36"/>
      <c r="P24" s="36"/>
      <c r="Q24" s="36"/>
    </row>
    <row r="25" spans="2:17" ht="15" thickTop="1" x14ac:dyDescent="0.35">
      <c r="B25" s="35"/>
      <c r="C25" s="586"/>
      <c r="E25" s="606"/>
      <c r="H25" s="585"/>
      <c r="I25" s="585"/>
      <c r="J25" s="591"/>
      <c r="K25" s="591"/>
      <c r="L25" s="37"/>
      <c r="M25" s="591"/>
      <c r="N25" s="37"/>
      <c r="O25" s="36"/>
      <c r="P25" s="36"/>
      <c r="Q25" s="36"/>
    </row>
    <row r="26" spans="2:17" x14ac:dyDescent="0.35">
      <c r="B26" s="35"/>
      <c r="C26" s="586"/>
      <c r="J26" s="606"/>
      <c r="K26" s="591"/>
      <c r="L26" s="37"/>
      <c r="M26" s="591"/>
      <c r="N26" s="37"/>
      <c r="O26" s="36"/>
      <c r="P26" s="36"/>
      <c r="Q26" s="36"/>
    </row>
    <row r="27" spans="2:17" x14ac:dyDescent="0.35">
      <c r="B27" s="35"/>
      <c r="C27" s="586"/>
      <c r="J27" s="606"/>
      <c r="K27" s="591"/>
      <c r="L27" s="37"/>
      <c r="M27" s="591"/>
      <c r="N27" s="37"/>
      <c r="O27" s="36"/>
      <c r="P27" s="36"/>
      <c r="Q27" s="36"/>
    </row>
    <row r="28" spans="2:17" x14ac:dyDescent="0.35">
      <c r="B28" s="35"/>
      <c r="C28" s="586"/>
      <c r="E28" s="606"/>
      <c r="H28" s="607"/>
      <c r="I28" s="607"/>
      <c r="J28" s="591"/>
      <c r="K28" s="591"/>
      <c r="L28" s="37"/>
      <c r="M28" s="591"/>
      <c r="N28" s="37"/>
      <c r="O28" s="36"/>
      <c r="P28" s="36"/>
      <c r="Q28" s="36"/>
    </row>
    <row r="29" spans="2:17" x14ac:dyDescent="0.35">
      <c r="B29" s="35"/>
      <c r="C29" s="586"/>
      <c r="J29" s="609"/>
      <c r="K29" s="591"/>
      <c r="L29" s="37"/>
      <c r="M29" s="591"/>
      <c r="N29" s="37"/>
      <c r="O29" s="36"/>
      <c r="P29" s="36"/>
      <c r="Q29" s="36"/>
    </row>
    <row r="30" spans="2:17" x14ac:dyDescent="0.35">
      <c r="B30" s="39"/>
      <c r="C30" s="586"/>
      <c r="D30" s="35"/>
      <c r="E30" s="35"/>
      <c r="H30" s="585"/>
      <c r="I30" s="585"/>
      <c r="J30" s="591"/>
      <c r="K30" s="591"/>
      <c r="L30" s="37"/>
      <c r="M30" s="591"/>
      <c r="N30" s="37"/>
      <c r="O30" s="36"/>
      <c r="P30" s="36"/>
      <c r="Q30" s="36"/>
    </row>
    <row r="31" spans="2:17" x14ac:dyDescent="0.35">
      <c r="B31" s="39"/>
      <c r="C31" s="586"/>
      <c r="D31" s="35"/>
      <c r="E31" s="35"/>
      <c r="H31" s="585"/>
      <c r="I31" s="585"/>
      <c r="J31" s="591"/>
      <c r="K31" s="591"/>
      <c r="L31" s="37"/>
      <c r="M31" s="591"/>
      <c r="N31" s="37"/>
      <c r="O31" s="36"/>
      <c r="P31" s="36"/>
      <c r="Q31" s="36"/>
    </row>
    <row r="32" spans="2:17" x14ac:dyDescent="0.35">
      <c r="B32" s="39"/>
      <c r="C32" s="586"/>
      <c r="D32" s="35"/>
      <c r="E32" s="35"/>
      <c r="H32" s="585"/>
      <c r="I32" s="585"/>
      <c r="J32" s="591"/>
      <c r="K32" s="591"/>
      <c r="L32" s="37"/>
      <c r="M32" s="591"/>
      <c r="N32" s="37"/>
      <c r="O32" s="36"/>
      <c r="P32" s="36"/>
      <c r="Q32" s="36"/>
    </row>
    <row r="33" spans="1:17" x14ac:dyDescent="0.35">
      <c r="B33" s="39"/>
      <c r="C33" s="586"/>
      <c r="D33" s="35"/>
      <c r="E33" s="35"/>
      <c r="H33" s="585"/>
      <c r="I33" s="585"/>
      <c r="J33" s="591"/>
      <c r="K33" s="591"/>
      <c r="L33" s="37"/>
      <c r="M33" s="591"/>
      <c r="N33" s="37"/>
      <c r="O33" s="36"/>
      <c r="P33" s="36"/>
      <c r="Q33" s="36"/>
    </row>
    <row r="34" spans="1:17" x14ac:dyDescent="0.35">
      <c r="B34" s="39"/>
      <c r="C34" s="586"/>
      <c r="D34" s="35"/>
      <c r="E34" s="35"/>
      <c r="H34" s="585"/>
      <c r="I34" s="585"/>
      <c r="J34" s="591"/>
      <c r="K34" s="591"/>
      <c r="L34" s="37"/>
      <c r="M34" s="591"/>
      <c r="N34" s="37"/>
      <c r="O34" s="36"/>
      <c r="P34" s="36"/>
      <c r="Q34" s="36"/>
    </row>
    <row r="35" spans="1:17" x14ac:dyDescent="0.35">
      <c r="B35" s="39"/>
      <c r="C35" s="586"/>
      <c r="D35" s="35"/>
      <c r="E35" s="35"/>
      <c r="H35" s="585"/>
      <c r="I35" s="585"/>
      <c r="J35" s="591"/>
      <c r="K35" s="608"/>
      <c r="L35" s="37"/>
      <c r="M35" s="591"/>
      <c r="N35" s="37"/>
      <c r="O35" s="36"/>
      <c r="P35" s="36"/>
      <c r="Q35" s="36"/>
    </row>
    <row r="36" spans="1:17" x14ac:dyDescent="0.35">
      <c r="B36" s="39"/>
      <c r="C36" s="586"/>
      <c r="D36" s="35"/>
      <c r="E36" s="35"/>
      <c r="H36" s="585"/>
      <c r="I36" s="585"/>
      <c r="J36" s="591"/>
      <c r="K36" s="591"/>
      <c r="L36" s="37"/>
      <c r="M36" s="591"/>
      <c r="N36" s="37"/>
      <c r="O36" s="36"/>
      <c r="P36" s="36"/>
      <c r="Q36" s="36"/>
    </row>
    <row r="37" spans="1:17" s="40" customFormat="1" ht="13" x14ac:dyDescent="0.3">
      <c r="A37" s="42"/>
      <c r="B37" s="39"/>
      <c r="C37" s="586"/>
      <c r="D37" s="35"/>
      <c r="E37" s="35"/>
      <c r="F37" s="42"/>
      <c r="G37" s="42"/>
      <c r="H37" s="585"/>
      <c r="I37" s="585"/>
      <c r="J37" s="591"/>
      <c r="K37" s="591"/>
      <c r="L37" s="37"/>
      <c r="M37" s="591"/>
      <c r="N37" s="609"/>
    </row>
    <row r="38" spans="1:17" x14ac:dyDescent="0.35">
      <c r="B38" s="39"/>
      <c r="C38" s="586"/>
      <c r="D38" s="35"/>
      <c r="E38" s="35"/>
      <c r="H38" s="585"/>
      <c r="I38" s="585"/>
      <c r="J38" s="591"/>
      <c r="K38" s="591"/>
      <c r="L38" s="37"/>
      <c r="M38" s="591"/>
      <c r="N38" s="37"/>
      <c r="O38" s="36"/>
      <c r="P38" s="36"/>
      <c r="Q38" s="36"/>
    </row>
    <row r="39" spans="1:17" x14ac:dyDescent="0.35">
      <c r="B39" s="39"/>
      <c r="C39" s="586"/>
      <c r="D39" s="35"/>
      <c r="E39" s="35"/>
      <c r="H39" s="585"/>
      <c r="I39" s="585"/>
      <c r="J39" s="591"/>
      <c r="K39" s="591"/>
      <c r="L39" s="37"/>
      <c r="M39" s="591"/>
      <c r="N39" s="37"/>
      <c r="O39" s="36"/>
      <c r="P39" s="36"/>
      <c r="Q39" s="36"/>
    </row>
    <row r="40" spans="1:17" x14ac:dyDescent="0.35">
      <c r="B40" s="39"/>
      <c r="C40" s="586"/>
      <c r="D40" s="35"/>
      <c r="E40" s="35"/>
      <c r="H40" s="585"/>
      <c r="I40" s="585"/>
      <c r="J40" s="591"/>
      <c r="K40" s="591"/>
      <c r="L40" s="37"/>
      <c r="M40" s="591"/>
      <c r="N40" s="37"/>
      <c r="O40" s="36"/>
      <c r="P40" s="36"/>
      <c r="Q40" s="36"/>
    </row>
    <row r="41" spans="1:17" x14ac:dyDescent="0.35">
      <c r="B41" s="39"/>
      <c r="C41" s="586"/>
      <c r="D41" s="35"/>
      <c r="E41" s="35"/>
      <c r="H41" s="585"/>
      <c r="I41" s="585"/>
      <c r="J41" s="591"/>
      <c r="K41" s="591"/>
      <c r="L41" s="37"/>
      <c r="M41" s="591"/>
      <c r="N41" s="37"/>
      <c r="O41" s="36"/>
      <c r="P41" s="36"/>
      <c r="Q41" s="36"/>
    </row>
    <row r="42" spans="1:17" x14ac:dyDescent="0.35">
      <c r="B42" s="39"/>
      <c r="C42" s="586"/>
      <c r="D42" s="35"/>
      <c r="E42" s="35"/>
      <c r="H42" s="585"/>
      <c r="I42" s="585"/>
      <c r="J42" s="591"/>
      <c r="K42" s="591"/>
      <c r="L42" s="37"/>
      <c r="M42" s="591"/>
      <c r="N42" s="37"/>
      <c r="O42" s="36"/>
      <c r="P42" s="36"/>
      <c r="Q42" s="36"/>
    </row>
    <row r="43" spans="1:17" x14ac:dyDescent="0.35">
      <c r="B43" s="39"/>
      <c r="C43" s="586"/>
      <c r="D43" s="35"/>
      <c r="E43" s="35"/>
      <c r="H43" s="585"/>
      <c r="I43" s="585"/>
      <c r="J43" s="591"/>
      <c r="K43" s="591"/>
      <c r="L43" s="37"/>
      <c r="M43" s="591"/>
      <c r="N43" s="37"/>
      <c r="O43" s="36"/>
      <c r="P43" s="36"/>
      <c r="Q43" s="36"/>
    </row>
    <row r="44" spans="1:17" x14ac:dyDescent="0.35">
      <c r="B44" s="39"/>
      <c r="C44" s="586"/>
      <c r="D44" s="35"/>
      <c r="E44" s="35"/>
      <c r="H44" s="585"/>
      <c r="I44" s="585"/>
      <c r="J44" s="591"/>
      <c r="K44" s="591"/>
      <c r="L44" s="37"/>
      <c r="M44" s="591"/>
      <c r="N44" s="37"/>
      <c r="O44" s="36"/>
      <c r="P44" s="36"/>
      <c r="Q44" s="36"/>
    </row>
    <row r="45" spans="1:17" x14ac:dyDescent="0.35">
      <c r="A45" s="552"/>
      <c r="B45" s="39"/>
      <c r="C45" s="586"/>
      <c r="D45" s="35"/>
      <c r="E45" s="35"/>
      <c r="F45" s="552"/>
      <c r="G45" s="552"/>
      <c r="H45" s="585"/>
      <c r="I45" s="585"/>
      <c r="J45" s="591"/>
      <c r="K45" s="591"/>
      <c r="L45" s="37"/>
      <c r="M45" s="591"/>
      <c r="N45" s="37"/>
      <c r="O45" s="36"/>
      <c r="P45" s="36"/>
      <c r="Q45" s="36"/>
    </row>
    <row r="46" spans="1:17" x14ac:dyDescent="0.35">
      <c r="A46" s="552"/>
      <c r="B46" s="39"/>
      <c r="C46" s="586"/>
      <c r="D46" s="35"/>
      <c r="E46" s="35"/>
      <c r="F46" s="552"/>
      <c r="G46" s="552"/>
      <c r="H46" s="585"/>
      <c r="I46" s="585"/>
      <c r="J46" s="591"/>
      <c r="K46" s="591"/>
      <c r="L46" s="37"/>
      <c r="M46" s="591"/>
      <c r="N46" s="37"/>
      <c r="O46" s="36"/>
      <c r="P46" s="36"/>
      <c r="Q46" s="36"/>
    </row>
    <row r="47" spans="1:17" x14ac:dyDescent="0.35">
      <c r="A47" s="552"/>
      <c r="B47" s="39"/>
      <c r="C47" s="586"/>
      <c r="D47" s="35"/>
      <c r="E47" s="35"/>
      <c r="F47" s="552"/>
      <c r="G47" s="552"/>
      <c r="H47" s="585"/>
      <c r="I47" s="585"/>
      <c r="J47" s="591"/>
      <c r="K47" s="591"/>
      <c r="L47" s="37"/>
      <c r="M47" s="591"/>
      <c r="N47" s="37"/>
      <c r="O47" s="36"/>
      <c r="P47" s="36"/>
      <c r="Q47" s="36"/>
    </row>
    <row r="48" spans="1:17" x14ac:dyDescent="0.35">
      <c r="A48" s="552"/>
      <c r="B48" s="39"/>
      <c r="C48" s="586"/>
      <c r="D48" s="35"/>
      <c r="E48" s="35"/>
      <c r="F48" s="552"/>
      <c r="G48" s="552"/>
      <c r="H48" s="585"/>
      <c r="I48" s="585"/>
      <c r="J48" s="591"/>
      <c r="K48" s="591"/>
      <c r="L48" s="37"/>
      <c r="M48" s="591"/>
      <c r="N48" s="37"/>
      <c r="O48" s="36"/>
      <c r="P48" s="36"/>
      <c r="Q48" s="36"/>
    </row>
    <row r="49" spans="1:17" x14ac:dyDescent="0.35">
      <c r="A49" s="552"/>
      <c r="B49" s="39"/>
      <c r="C49" s="586"/>
      <c r="D49" s="35"/>
      <c r="E49" s="35"/>
      <c r="F49" s="552"/>
      <c r="G49" s="552"/>
      <c r="H49" s="585"/>
      <c r="I49" s="585"/>
      <c r="J49" s="591"/>
      <c r="K49" s="591"/>
      <c r="L49" s="37"/>
      <c r="M49" s="591"/>
      <c r="N49" s="37"/>
      <c r="O49" s="36"/>
      <c r="P49" s="36"/>
      <c r="Q49" s="36"/>
    </row>
    <row r="50" spans="1:17" x14ac:dyDescent="0.35">
      <c r="A50" s="552"/>
      <c r="B50" s="40"/>
      <c r="C50" s="40"/>
      <c r="D50" s="40"/>
      <c r="E50" s="40"/>
      <c r="F50" s="552"/>
      <c r="G50" s="552"/>
      <c r="H50" s="610"/>
      <c r="I50" s="610"/>
      <c r="J50" s="611"/>
      <c r="K50" s="611"/>
      <c r="L50" s="609"/>
      <c r="M50" s="611"/>
      <c r="N50" s="37"/>
      <c r="O50" s="36"/>
      <c r="P50" s="36"/>
      <c r="Q50" s="36"/>
    </row>
    <row r="51" spans="1:17" x14ac:dyDescent="0.35">
      <c r="A51" s="552"/>
      <c r="B51" s="39"/>
      <c r="C51" s="586"/>
      <c r="D51" s="35"/>
      <c r="E51" s="36"/>
      <c r="F51" s="552"/>
      <c r="G51" s="552"/>
      <c r="J51" s="591"/>
      <c r="K51" s="591"/>
      <c r="L51" s="37"/>
      <c r="M51" s="591"/>
      <c r="N51" s="37"/>
      <c r="O51" s="36"/>
      <c r="P51" s="36"/>
      <c r="Q51" s="36"/>
    </row>
    <row r="52" spans="1:17" x14ac:dyDescent="0.35">
      <c r="A52" s="552"/>
      <c r="B52" s="39"/>
      <c r="C52" s="586"/>
      <c r="D52" s="36"/>
      <c r="E52" s="36"/>
      <c r="F52" s="552"/>
      <c r="G52" s="552"/>
      <c r="J52" s="591"/>
      <c r="K52" s="591"/>
      <c r="L52" s="37"/>
      <c r="M52" s="591"/>
      <c r="N52" s="37"/>
      <c r="O52" s="36"/>
      <c r="P52" s="36"/>
      <c r="Q52" s="36"/>
    </row>
    <row r="53" spans="1:17" x14ac:dyDescent="0.35">
      <c r="A53" s="552"/>
      <c r="B53" s="39"/>
      <c r="C53" s="586"/>
      <c r="D53" s="36"/>
      <c r="E53" s="36"/>
      <c r="F53" s="552"/>
      <c r="G53" s="552"/>
      <c r="J53" s="591"/>
      <c r="K53" s="591"/>
      <c r="L53" s="37"/>
      <c r="M53" s="591"/>
      <c r="N53" s="37"/>
      <c r="O53" s="36"/>
      <c r="P53" s="36"/>
      <c r="Q53" s="36"/>
    </row>
    <row r="54" spans="1:17" x14ac:dyDescent="0.35">
      <c r="A54" s="552"/>
      <c r="B54" s="39"/>
      <c r="C54" s="586"/>
      <c r="D54" s="36"/>
      <c r="E54" s="36"/>
      <c r="F54" s="552"/>
      <c r="G54" s="552"/>
      <c r="J54" s="591"/>
      <c r="K54" s="591"/>
      <c r="L54" s="37"/>
      <c r="M54" s="591"/>
      <c r="N54" s="37"/>
      <c r="O54" s="36"/>
      <c r="P54" s="36"/>
      <c r="Q54" s="36"/>
    </row>
    <row r="55" spans="1:17" x14ac:dyDescent="0.35">
      <c r="A55" s="552"/>
      <c r="B55" s="39"/>
      <c r="C55" s="586"/>
      <c r="D55" s="36"/>
      <c r="E55" s="36"/>
      <c r="F55" s="552"/>
      <c r="G55" s="552"/>
      <c r="J55" s="591"/>
      <c r="K55" s="591"/>
      <c r="L55" s="37"/>
      <c r="M55" s="591"/>
      <c r="N55" s="37"/>
      <c r="O55" s="36"/>
      <c r="P55" s="36"/>
      <c r="Q55" s="36"/>
    </row>
    <row r="56" spans="1:17" x14ac:dyDescent="0.35">
      <c r="A56" s="552"/>
      <c r="B56" s="39"/>
      <c r="C56" s="586"/>
      <c r="D56" s="36"/>
      <c r="E56" s="36"/>
      <c r="F56" s="552"/>
      <c r="G56" s="552"/>
      <c r="J56" s="591"/>
      <c r="K56" s="591"/>
      <c r="L56" s="37"/>
      <c r="M56" s="591"/>
      <c r="N56" s="37"/>
      <c r="O56" s="36"/>
      <c r="P56" s="36"/>
      <c r="Q56" s="36"/>
    </row>
    <row r="57" spans="1:17" x14ac:dyDescent="0.35">
      <c r="A57" s="552"/>
      <c r="B57" s="39"/>
      <c r="C57" s="586"/>
      <c r="D57" s="36"/>
      <c r="E57" s="36"/>
      <c r="F57" s="552"/>
      <c r="G57" s="552"/>
      <c r="J57" s="591"/>
      <c r="K57" s="591"/>
      <c r="L57" s="37"/>
      <c r="M57" s="591"/>
      <c r="N57" s="37"/>
      <c r="O57" s="36"/>
      <c r="P57" s="36"/>
      <c r="Q57" s="36"/>
    </row>
    <row r="58" spans="1:17" x14ac:dyDescent="0.35">
      <c r="A58" s="552"/>
      <c r="B58" s="39"/>
      <c r="C58" s="586"/>
      <c r="D58" s="36"/>
      <c r="E58" s="36"/>
      <c r="F58" s="552"/>
      <c r="G58" s="552"/>
      <c r="J58" s="591"/>
      <c r="K58" s="591"/>
      <c r="L58" s="37"/>
      <c r="M58" s="591"/>
      <c r="N58" s="37"/>
      <c r="O58" s="36"/>
      <c r="P58" s="36"/>
      <c r="Q58" s="36"/>
    </row>
    <row r="59" spans="1:17" x14ac:dyDescent="0.35">
      <c r="A59" s="552"/>
      <c r="B59" s="39"/>
      <c r="C59" s="586"/>
      <c r="D59" s="36"/>
      <c r="E59" s="36"/>
      <c r="F59" s="552"/>
      <c r="G59" s="552"/>
      <c r="J59" s="591"/>
      <c r="K59" s="591"/>
      <c r="L59" s="37"/>
      <c r="M59" s="591"/>
      <c r="N59" s="37"/>
      <c r="O59" s="36"/>
      <c r="P59" s="36"/>
      <c r="Q59" s="36"/>
    </row>
    <row r="60" spans="1:17" x14ac:dyDescent="0.35">
      <c r="A60" s="552"/>
      <c r="B60" s="39"/>
      <c r="C60" s="586"/>
      <c r="D60" s="36"/>
      <c r="E60" s="36"/>
      <c r="F60" s="552"/>
      <c r="G60" s="552"/>
      <c r="J60" s="591"/>
      <c r="K60" s="591"/>
      <c r="L60" s="37"/>
      <c r="M60" s="591"/>
      <c r="N60" s="37"/>
      <c r="O60" s="36"/>
      <c r="P60" s="36"/>
      <c r="Q60" s="36"/>
    </row>
    <row r="61" spans="1:17" x14ac:dyDescent="0.35">
      <c r="A61" s="552"/>
      <c r="B61" s="39"/>
      <c r="C61" s="586"/>
      <c r="D61" s="36"/>
      <c r="E61" s="36"/>
      <c r="F61" s="552"/>
      <c r="G61" s="552"/>
      <c r="J61" s="591"/>
      <c r="K61" s="591"/>
      <c r="L61" s="37"/>
      <c r="M61" s="591"/>
      <c r="N61" s="37"/>
      <c r="O61" s="36"/>
      <c r="P61" s="36"/>
      <c r="Q61" s="36"/>
    </row>
    <row r="62" spans="1:17" x14ac:dyDescent="0.35">
      <c r="A62" s="552"/>
      <c r="B62" s="39"/>
      <c r="C62" s="586"/>
      <c r="D62" s="36"/>
      <c r="E62" s="36"/>
      <c r="F62" s="552"/>
      <c r="G62" s="552"/>
      <c r="J62" s="591"/>
      <c r="K62" s="591"/>
      <c r="L62" s="37"/>
      <c r="M62" s="591"/>
      <c r="N62" s="37"/>
      <c r="O62" s="36"/>
      <c r="P62" s="36"/>
      <c r="Q62" s="36"/>
    </row>
    <row r="63" spans="1:17" x14ac:dyDescent="0.35">
      <c r="A63" s="552"/>
      <c r="B63" s="39"/>
      <c r="C63" s="586"/>
      <c r="D63" s="36"/>
      <c r="E63" s="36"/>
      <c r="F63" s="552"/>
      <c r="G63" s="552"/>
      <c r="J63" s="591"/>
      <c r="K63" s="591"/>
      <c r="L63" s="37"/>
      <c r="M63" s="591"/>
      <c r="N63" s="609"/>
      <c r="O63" s="36"/>
      <c r="P63" s="36"/>
      <c r="Q63" s="36"/>
    </row>
    <row r="64" spans="1:17" x14ac:dyDescent="0.35">
      <c r="A64" s="552"/>
      <c r="B64" s="39"/>
      <c r="C64" s="586"/>
      <c r="D64" s="36"/>
      <c r="E64" s="36"/>
      <c r="F64" s="552"/>
      <c r="G64" s="552"/>
      <c r="J64" s="591"/>
      <c r="K64" s="591"/>
      <c r="L64" s="37"/>
      <c r="M64" s="591"/>
      <c r="N64" s="37"/>
      <c r="O64" s="36"/>
      <c r="P64" s="36"/>
      <c r="Q64" s="36"/>
    </row>
    <row r="65" spans="1:17" x14ac:dyDescent="0.35">
      <c r="A65" s="552"/>
      <c r="B65" s="39"/>
      <c r="C65" s="586"/>
      <c r="D65" s="36"/>
      <c r="E65" s="36"/>
      <c r="F65" s="552"/>
      <c r="G65" s="552"/>
      <c r="J65" s="591"/>
      <c r="K65" s="591"/>
      <c r="L65" s="37"/>
      <c r="M65" s="591"/>
      <c r="N65" s="37"/>
      <c r="O65" s="36"/>
      <c r="P65" s="36"/>
      <c r="Q65" s="36"/>
    </row>
    <row r="66" spans="1:17" x14ac:dyDescent="0.35">
      <c r="A66" s="552"/>
      <c r="B66" s="586"/>
      <c r="C66" s="586"/>
      <c r="D66" s="36"/>
      <c r="E66" s="36"/>
      <c r="F66" s="552"/>
      <c r="G66" s="552"/>
      <c r="J66" s="591"/>
      <c r="K66" s="591"/>
      <c r="L66" s="37"/>
      <c r="M66" s="591"/>
      <c r="N66" s="37"/>
      <c r="O66" s="36"/>
      <c r="P66" s="36"/>
      <c r="Q66" s="36"/>
    </row>
    <row r="67" spans="1:17" x14ac:dyDescent="0.35">
      <c r="A67" s="552"/>
      <c r="B67" s="36"/>
      <c r="C67" s="586"/>
      <c r="D67" s="36"/>
      <c r="E67" s="36"/>
      <c r="F67" s="552"/>
      <c r="G67" s="552"/>
      <c r="J67" s="591"/>
      <c r="K67" s="591"/>
      <c r="L67" s="37"/>
      <c r="M67" s="591"/>
      <c r="N67" s="37"/>
      <c r="O67" s="36"/>
      <c r="P67" s="36"/>
      <c r="Q67" s="36"/>
    </row>
    <row r="68" spans="1:17" x14ac:dyDescent="0.35">
      <c r="A68" s="552"/>
      <c r="B68" s="36"/>
      <c r="C68" s="586"/>
      <c r="D68" s="36"/>
      <c r="E68" s="36"/>
      <c r="F68" s="552"/>
      <c r="G68" s="552"/>
      <c r="J68" s="591"/>
      <c r="K68" s="591"/>
      <c r="L68" s="37"/>
      <c r="M68" s="591"/>
      <c r="N68" s="37"/>
      <c r="O68" s="36"/>
      <c r="P68" s="36"/>
      <c r="Q68" s="36"/>
    </row>
    <row r="69" spans="1:17" x14ac:dyDescent="0.35">
      <c r="A69" s="552"/>
      <c r="B69" s="36"/>
      <c r="C69" s="586"/>
      <c r="D69" s="36"/>
      <c r="E69" s="36"/>
      <c r="F69" s="552"/>
      <c r="G69" s="552"/>
      <c r="J69" s="591"/>
      <c r="K69" s="591"/>
      <c r="L69" s="37"/>
      <c r="M69" s="591"/>
      <c r="N69" s="37"/>
      <c r="O69" s="36"/>
      <c r="P69" s="36"/>
      <c r="Q69" s="36"/>
    </row>
    <row r="70" spans="1:17" x14ac:dyDescent="0.35">
      <c r="A70" s="552"/>
      <c r="B70" s="36"/>
      <c r="C70" s="586"/>
      <c r="D70" s="36"/>
      <c r="E70" s="36"/>
      <c r="F70" s="552"/>
      <c r="G70" s="552"/>
      <c r="J70" s="591"/>
      <c r="K70" s="591"/>
      <c r="L70" s="37"/>
      <c r="M70" s="591"/>
      <c r="N70" s="37"/>
      <c r="O70" s="36"/>
      <c r="P70" s="36"/>
      <c r="Q70" s="36"/>
    </row>
    <row r="71" spans="1:17" x14ac:dyDescent="0.35">
      <c r="A71" s="552"/>
      <c r="B71" s="36"/>
      <c r="C71" s="586"/>
      <c r="D71" s="36"/>
      <c r="E71" s="36"/>
      <c r="F71" s="552"/>
      <c r="G71" s="552"/>
      <c r="J71" s="591"/>
      <c r="K71" s="591"/>
      <c r="L71" s="37"/>
      <c r="M71" s="591"/>
      <c r="N71" s="37"/>
      <c r="O71" s="36"/>
      <c r="P71" s="36"/>
      <c r="Q71" s="36"/>
    </row>
    <row r="72" spans="1:17" x14ac:dyDescent="0.35">
      <c r="A72" s="552"/>
      <c r="B72" s="36"/>
      <c r="C72" s="586"/>
      <c r="D72" s="36"/>
      <c r="E72" s="36"/>
      <c r="F72" s="552"/>
      <c r="G72" s="552"/>
      <c r="J72" s="591"/>
      <c r="K72" s="591"/>
      <c r="L72" s="37"/>
      <c r="M72" s="591"/>
      <c r="N72" s="37"/>
      <c r="O72" s="36"/>
      <c r="P72" s="36"/>
      <c r="Q72" s="36"/>
    </row>
    <row r="73" spans="1:17" x14ac:dyDescent="0.35">
      <c r="A73" s="552"/>
      <c r="B73" s="36"/>
      <c r="C73" s="586"/>
      <c r="D73" s="36"/>
      <c r="E73" s="36"/>
      <c r="F73" s="552"/>
      <c r="G73" s="552"/>
      <c r="J73" s="591"/>
      <c r="K73" s="591"/>
      <c r="L73" s="37"/>
      <c r="M73" s="591"/>
      <c r="N73" s="37"/>
      <c r="O73" s="36"/>
      <c r="P73" s="36"/>
      <c r="Q73" s="36"/>
    </row>
    <row r="74" spans="1:17" x14ac:dyDescent="0.35">
      <c r="A74" s="552"/>
      <c r="B74" s="36"/>
      <c r="C74" s="586"/>
      <c r="D74" s="36"/>
      <c r="E74" s="36"/>
      <c r="F74" s="552"/>
      <c r="G74" s="552"/>
      <c r="J74" s="591"/>
      <c r="K74" s="591"/>
      <c r="L74" s="37"/>
      <c r="M74" s="591"/>
      <c r="N74" s="37"/>
      <c r="O74" s="36"/>
      <c r="P74" s="36"/>
      <c r="Q74" s="36"/>
    </row>
    <row r="75" spans="1:17" x14ac:dyDescent="0.35">
      <c r="A75" s="552"/>
      <c r="B75" s="36"/>
      <c r="C75" s="586"/>
      <c r="D75" s="36"/>
      <c r="E75" s="36"/>
      <c r="F75" s="552"/>
      <c r="G75" s="552"/>
      <c r="J75" s="591"/>
      <c r="K75" s="591"/>
      <c r="L75" s="37"/>
      <c r="M75" s="591"/>
      <c r="N75" s="37"/>
      <c r="O75" s="36"/>
      <c r="P75" s="36"/>
      <c r="Q75" s="36"/>
    </row>
    <row r="76" spans="1:17" x14ac:dyDescent="0.35">
      <c r="A76" s="552"/>
      <c r="B76" s="36"/>
      <c r="C76" s="586"/>
      <c r="D76" s="36"/>
      <c r="E76" s="36"/>
      <c r="F76" s="552"/>
      <c r="G76" s="552"/>
      <c r="J76" s="591"/>
      <c r="K76" s="591"/>
      <c r="L76" s="37"/>
      <c r="M76" s="591"/>
      <c r="N76" s="37"/>
      <c r="O76" s="36"/>
      <c r="P76" s="36"/>
      <c r="Q76" s="36"/>
    </row>
    <row r="77" spans="1:17" x14ac:dyDescent="0.35">
      <c r="A77" s="552"/>
      <c r="B77" s="36"/>
      <c r="C77" s="586"/>
      <c r="D77" s="36"/>
      <c r="E77" s="36"/>
      <c r="F77" s="552"/>
      <c r="G77" s="552"/>
      <c r="J77" s="591"/>
      <c r="K77" s="591"/>
      <c r="L77" s="37"/>
      <c r="M77" s="591"/>
      <c r="N77" s="37"/>
      <c r="O77" s="36"/>
      <c r="P77" s="36"/>
      <c r="Q77" s="36"/>
    </row>
    <row r="78" spans="1:17" x14ac:dyDescent="0.35">
      <c r="A78" s="552"/>
      <c r="B78" s="36"/>
      <c r="C78" s="586"/>
      <c r="D78" s="36"/>
      <c r="E78" s="36"/>
      <c r="F78" s="552"/>
      <c r="G78" s="552"/>
      <c r="J78" s="591"/>
      <c r="K78" s="591"/>
      <c r="L78" s="37"/>
      <c r="M78" s="591"/>
      <c r="N78" s="37"/>
      <c r="O78" s="36"/>
      <c r="P78" s="36"/>
      <c r="Q78" s="36"/>
    </row>
    <row r="79" spans="1:17" x14ac:dyDescent="0.35">
      <c r="A79" s="552"/>
      <c r="F79" s="552"/>
      <c r="G79" s="552"/>
    </row>
    <row r="80" spans="1:17" x14ac:dyDescent="0.35">
      <c r="A80" s="552"/>
      <c r="F80" s="552"/>
      <c r="G80" s="552"/>
    </row>
    <row r="81" spans="1:12" x14ac:dyDescent="0.35">
      <c r="A81" s="552"/>
      <c r="F81" s="552"/>
      <c r="G81" s="552"/>
    </row>
    <row r="82" spans="1:12" x14ac:dyDescent="0.35">
      <c r="A82" s="552"/>
      <c r="C82" s="552"/>
      <c r="E82" s="554"/>
      <c r="F82" s="552"/>
      <c r="G82" s="552"/>
      <c r="H82" s="562"/>
      <c r="I82" s="562"/>
    </row>
    <row r="83" spans="1:12" x14ac:dyDescent="0.35">
      <c r="A83" s="552"/>
      <c r="C83" s="552"/>
      <c r="E83" s="554"/>
      <c r="F83" s="552"/>
      <c r="G83" s="552"/>
      <c r="H83" s="562"/>
      <c r="I83" s="562"/>
    </row>
    <row r="84" spans="1:12" x14ac:dyDescent="0.35">
      <c r="A84" s="552"/>
      <c r="C84" s="552"/>
      <c r="E84" s="554"/>
      <c r="F84" s="552"/>
      <c r="G84" s="552"/>
      <c r="H84" s="562"/>
      <c r="I84" s="562"/>
    </row>
    <row r="85" spans="1:12" x14ac:dyDescent="0.35">
      <c r="A85" s="552"/>
      <c r="C85" s="552"/>
      <c r="E85" s="554"/>
      <c r="F85" s="552"/>
      <c r="G85" s="552"/>
      <c r="H85" s="562"/>
      <c r="I85" s="562"/>
    </row>
    <row r="86" spans="1:12" x14ac:dyDescent="0.35">
      <c r="A86" s="552"/>
      <c r="F86" s="552"/>
      <c r="G86" s="552"/>
    </row>
    <row r="87" spans="1:12" x14ac:dyDescent="0.35">
      <c r="A87" s="552"/>
      <c r="F87" s="552"/>
      <c r="G87" s="552"/>
    </row>
    <row r="88" spans="1:12" x14ac:dyDescent="0.35">
      <c r="A88" s="552"/>
      <c r="F88" s="552"/>
      <c r="G88" s="552"/>
    </row>
    <row r="89" spans="1:12" x14ac:dyDescent="0.35">
      <c r="A89" s="552"/>
      <c r="F89" s="552"/>
      <c r="G89" s="552"/>
    </row>
    <row r="90" spans="1:12" x14ac:dyDescent="0.35">
      <c r="A90" s="552"/>
      <c r="F90" s="552"/>
      <c r="G90" s="552"/>
    </row>
    <row r="91" spans="1:12" x14ac:dyDescent="0.35">
      <c r="A91" s="552"/>
      <c r="F91" s="552"/>
      <c r="G91" s="552"/>
    </row>
    <row r="92" spans="1:12" x14ac:dyDescent="0.35">
      <c r="A92" s="552"/>
      <c r="F92" s="552"/>
      <c r="G92" s="552"/>
    </row>
    <row r="93" spans="1:12" x14ac:dyDescent="0.35">
      <c r="A93" s="552"/>
      <c r="C93" s="552"/>
      <c r="F93" s="552"/>
      <c r="G93" s="552"/>
      <c r="J93" s="552"/>
      <c r="K93" s="552"/>
      <c r="L93" s="552"/>
    </row>
    <row r="94" spans="1:12" x14ac:dyDescent="0.35">
      <c r="A94" s="552"/>
      <c r="C94" s="552"/>
      <c r="F94" s="552"/>
      <c r="G94" s="552"/>
      <c r="J94" s="552"/>
      <c r="K94" s="552"/>
      <c r="L94" s="552"/>
    </row>
    <row r="95" spans="1:12" x14ac:dyDescent="0.35">
      <c r="A95" s="552"/>
      <c r="C95" s="552"/>
      <c r="F95" s="552"/>
      <c r="G95" s="552"/>
      <c r="J95" s="552"/>
      <c r="K95" s="552"/>
      <c r="L95" s="552"/>
    </row>
    <row r="96" spans="1:12" x14ac:dyDescent="0.35">
      <c r="A96" s="552"/>
      <c r="C96" s="552"/>
      <c r="F96" s="552"/>
      <c r="G96" s="552"/>
      <c r="J96" s="552"/>
      <c r="K96" s="552"/>
      <c r="L96" s="552"/>
    </row>
    <row r="97" spans="1:14" x14ac:dyDescent="0.35">
      <c r="A97" s="552"/>
      <c r="C97" s="552"/>
      <c r="F97" s="552"/>
      <c r="G97" s="552"/>
      <c r="J97" s="552"/>
      <c r="K97" s="552"/>
      <c r="L97" s="552"/>
    </row>
    <row r="98" spans="1:14" x14ac:dyDescent="0.35">
      <c r="A98" s="552"/>
      <c r="C98" s="552"/>
      <c r="F98" s="552"/>
      <c r="G98" s="552"/>
      <c r="J98" s="552"/>
      <c r="K98" s="552"/>
      <c r="L98" s="552"/>
    </row>
    <row r="99" spans="1:14" x14ac:dyDescent="0.35">
      <c r="A99" s="552"/>
      <c r="C99" s="552"/>
      <c r="F99" s="552"/>
      <c r="G99" s="552"/>
      <c r="J99" s="552"/>
      <c r="K99" s="552"/>
      <c r="L99" s="552"/>
    </row>
    <row r="100" spans="1:14" x14ac:dyDescent="0.35">
      <c r="A100" s="552"/>
      <c r="C100" s="552"/>
      <c r="F100" s="552"/>
      <c r="G100" s="552"/>
      <c r="J100" s="552"/>
      <c r="K100" s="552"/>
      <c r="L100" s="552"/>
    </row>
    <row r="101" spans="1:14" x14ac:dyDescent="0.35">
      <c r="A101" s="552"/>
      <c r="C101" s="552"/>
      <c r="F101" s="552"/>
      <c r="G101" s="552"/>
      <c r="J101" s="552"/>
      <c r="K101" s="552"/>
      <c r="L101" s="552"/>
    </row>
    <row r="102" spans="1:14" x14ac:dyDescent="0.35">
      <c r="A102" s="552"/>
      <c r="C102" s="552"/>
      <c r="F102" s="552"/>
      <c r="G102" s="552"/>
      <c r="J102" s="552"/>
      <c r="K102" s="552"/>
      <c r="L102" s="552"/>
    </row>
    <row r="103" spans="1:14" x14ac:dyDescent="0.35">
      <c r="A103" s="552"/>
      <c r="C103" s="552"/>
      <c r="F103" s="552"/>
      <c r="G103" s="552"/>
      <c r="J103" s="552"/>
      <c r="K103" s="552"/>
      <c r="L103" s="552"/>
    </row>
    <row r="104" spans="1:14" x14ac:dyDescent="0.35">
      <c r="A104" s="552"/>
      <c r="C104" s="552"/>
      <c r="F104" s="552"/>
      <c r="G104" s="552"/>
      <c r="J104" s="552"/>
      <c r="K104" s="552"/>
      <c r="L104" s="552"/>
    </row>
    <row r="105" spans="1:14" x14ac:dyDescent="0.35">
      <c r="A105" s="552"/>
      <c r="C105" s="552"/>
      <c r="F105" s="552"/>
      <c r="G105" s="552"/>
      <c r="J105" s="552"/>
      <c r="K105" s="552"/>
      <c r="L105" s="552"/>
    </row>
    <row r="106" spans="1:14" x14ac:dyDescent="0.35">
      <c r="A106" s="552"/>
      <c r="C106" s="552"/>
      <c r="F106" s="552"/>
      <c r="G106" s="552"/>
      <c r="J106" s="552"/>
      <c r="K106" s="552"/>
      <c r="L106" s="552"/>
    </row>
    <row r="107" spans="1:14" x14ac:dyDescent="0.35">
      <c r="A107" s="552"/>
      <c r="C107" s="552"/>
      <c r="F107" s="552"/>
      <c r="G107" s="552"/>
      <c r="J107" s="552"/>
      <c r="K107" s="552"/>
      <c r="L107" s="552"/>
    </row>
    <row r="108" spans="1:14" x14ac:dyDescent="0.35">
      <c r="A108" s="552"/>
      <c r="C108" s="552"/>
      <c r="F108" s="552"/>
      <c r="G108" s="552"/>
      <c r="J108" s="552"/>
      <c r="K108" s="552"/>
      <c r="L108" s="552"/>
    </row>
    <row r="109" spans="1:14" x14ac:dyDescent="0.35">
      <c r="A109" s="552"/>
      <c r="C109" s="552"/>
      <c r="F109" s="552"/>
      <c r="G109" s="552"/>
      <c r="J109" s="552"/>
      <c r="K109" s="552"/>
      <c r="L109" s="552"/>
      <c r="N109" s="552"/>
    </row>
    <row r="110" spans="1:14" x14ac:dyDescent="0.35">
      <c r="A110" s="552"/>
      <c r="C110" s="552"/>
      <c r="F110" s="552"/>
      <c r="G110" s="552"/>
      <c r="J110" s="552"/>
      <c r="K110" s="552"/>
      <c r="L110" s="552"/>
      <c r="N110" s="552"/>
    </row>
    <row r="111" spans="1:14" x14ac:dyDescent="0.35">
      <c r="A111" s="552"/>
      <c r="C111" s="552"/>
      <c r="F111" s="552"/>
      <c r="G111" s="552"/>
      <c r="J111" s="552"/>
      <c r="K111" s="552"/>
      <c r="L111" s="552"/>
      <c r="N111" s="552"/>
    </row>
    <row r="112" spans="1:14" x14ac:dyDescent="0.35">
      <c r="A112" s="552"/>
      <c r="C112" s="552"/>
      <c r="F112" s="552"/>
      <c r="G112" s="552"/>
      <c r="J112" s="552"/>
      <c r="K112" s="552"/>
      <c r="L112" s="552"/>
      <c r="N112" s="552"/>
    </row>
    <row r="113" spans="8:13" s="552" customFormat="1" x14ac:dyDescent="0.35">
      <c r="H113" s="553"/>
      <c r="I113" s="553"/>
      <c r="M113" s="554"/>
    </row>
    <row r="114" spans="8:13" s="552" customFormat="1" x14ac:dyDescent="0.35">
      <c r="H114" s="553"/>
      <c r="I114" s="553"/>
      <c r="M114" s="554"/>
    </row>
    <row r="115" spans="8:13" s="552" customFormat="1" x14ac:dyDescent="0.35">
      <c r="H115" s="553"/>
      <c r="I115" s="553"/>
      <c r="M115" s="554"/>
    </row>
    <row r="116" spans="8:13" s="552" customFormat="1" x14ac:dyDescent="0.35">
      <c r="H116" s="553"/>
      <c r="I116" s="553"/>
      <c r="M116" s="554"/>
    </row>
    <row r="117" spans="8:13" s="552" customFormat="1" x14ac:dyDescent="0.35">
      <c r="H117" s="553"/>
      <c r="I117" s="553"/>
      <c r="M117" s="554"/>
    </row>
    <row r="118" spans="8:13" s="552" customFormat="1" x14ac:dyDescent="0.35">
      <c r="H118" s="553"/>
      <c r="I118" s="553"/>
      <c r="M118" s="554"/>
    </row>
    <row r="119" spans="8:13" s="552" customFormat="1" x14ac:dyDescent="0.35">
      <c r="H119" s="553"/>
      <c r="I119" s="553"/>
      <c r="M119" s="554"/>
    </row>
    <row r="120" spans="8:13" s="552" customFormat="1" x14ac:dyDescent="0.35">
      <c r="H120" s="553"/>
      <c r="I120" s="553"/>
      <c r="M120" s="554"/>
    </row>
    <row r="121" spans="8:13" s="552" customFormat="1" x14ac:dyDescent="0.35">
      <c r="H121" s="553"/>
      <c r="I121" s="553"/>
      <c r="M121" s="554"/>
    </row>
    <row r="122" spans="8:13" s="552" customFormat="1" x14ac:dyDescent="0.35">
      <c r="H122" s="553"/>
      <c r="I122" s="553"/>
      <c r="M122" s="554"/>
    </row>
    <row r="123" spans="8:13" s="552" customFormat="1" x14ac:dyDescent="0.35">
      <c r="H123" s="553"/>
      <c r="I123" s="553"/>
      <c r="M123" s="554"/>
    </row>
    <row r="124" spans="8:13" s="552" customFormat="1" x14ac:dyDescent="0.35">
      <c r="H124" s="553"/>
      <c r="I124" s="553"/>
      <c r="M124" s="554"/>
    </row>
    <row r="125" spans="8:13" s="552" customFormat="1" x14ac:dyDescent="0.35">
      <c r="H125" s="553"/>
      <c r="I125" s="553"/>
      <c r="M125" s="554"/>
    </row>
    <row r="126" spans="8:13" s="552" customFormat="1" x14ac:dyDescent="0.35">
      <c r="H126" s="553"/>
      <c r="I126" s="553"/>
      <c r="M126" s="554"/>
    </row>
    <row r="127" spans="8:13" s="552" customFormat="1" x14ac:dyDescent="0.35">
      <c r="H127" s="553"/>
      <c r="I127" s="553"/>
      <c r="M127" s="554"/>
    </row>
    <row r="128" spans="8:13" s="552" customFormat="1" x14ac:dyDescent="0.35">
      <c r="H128" s="553"/>
      <c r="I128" s="553"/>
      <c r="M128" s="554"/>
    </row>
    <row r="129" spans="8:13" s="552" customFormat="1" x14ac:dyDescent="0.35">
      <c r="H129" s="553"/>
      <c r="I129" s="553"/>
      <c r="M129" s="554"/>
    </row>
    <row r="130" spans="8:13" s="552" customFormat="1" x14ac:dyDescent="0.35">
      <c r="H130" s="553"/>
      <c r="I130" s="553"/>
      <c r="M130" s="554"/>
    </row>
    <row r="131" spans="8:13" s="552" customFormat="1" x14ac:dyDescent="0.35">
      <c r="H131" s="553"/>
      <c r="I131" s="553"/>
      <c r="M131" s="554"/>
    </row>
    <row r="132" spans="8:13" s="552" customFormat="1" x14ac:dyDescent="0.35">
      <c r="H132" s="553"/>
      <c r="I132" s="553"/>
      <c r="M132" s="554"/>
    </row>
    <row r="133" spans="8:13" s="552" customFormat="1" x14ac:dyDescent="0.35">
      <c r="H133" s="553"/>
      <c r="I133" s="553"/>
      <c r="M133" s="554"/>
    </row>
    <row r="134" spans="8:13" s="552" customFormat="1" x14ac:dyDescent="0.35">
      <c r="H134" s="553"/>
      <c r="I134" s="553"/>
      <c r="M134" s="554"/>
    </row>
    <row r="135" spans="8:13" s="552" customFormat="1" x14ac:dyDescent="0.35">
      <c r="H135" s="553"/>
      <c r="I135" s="553"/>
      <c r="M135" s="554"/>
    </row>
    <row r="136" spans="8:13" s="552" customFormat="1" x14ac:dyDescent="0.35">
      <c r="H136" s="553"/>
      <c r="I136" s="553"/>
      <c r="M136" s="554"/>
    </row>
    <row r="137" spans="8:13" s="552" customFormat="1" x14ac:dyDescent="0.35">
      <c r="H137" s="553"/>
      <c r="I137" s="553"/>
      <c r="M137" s="554"/>
    </row>
  </sheetData>
  <pageMargins left="0.7" right="0.7" top="0.75" bottom="0.75" header="0.3" footer="0.3"/>
  <pageSetup paperSize="9" scale="74"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32992-15ED-460E-9D49-14B46C3B82E9}">
  <sheetPr>
    <pageSetUpPr fitToPage="1"/>
  </sheetPr>
  <dimension ref="A1:AT249"/>
  <sheetViews>
    <sheetView zoomScaleNormal="100" workbookViewId="0">
      <pane xSplit="10" ySplit="5" topLeftCell="AM126" activePane="bottomRight" state="frozen"/>
      <selection pane="topRight" activeCell="J1" sqref="J1"/>
      <selection pane="bottomLeft" activeCell="A6" sqref="A6"/>
      <selection pane="bottomRight" activeCell="E90" sqref="E90:E91"/>
    </sheetView>
  </sheetViews>
  <sheetFormatPr defaultColWidth="9.1796875" defaultRowHeight="14.5" x14ac:dyDescent="0.35"/>
  <cols>
    <col min="1" max="1" width="3.81640625" style="552" bestFit="1" customWidth="1"/>
    <col min="2" max="2" width="10.453125" style="550" bestFit="1" customWidth="1"/>
    <col min="3" max="3" width="11" style="552" customWidth="1"/>
    <col min="4" max="4" width="9.90625" style="550" bestFit="1" customWidth="1"/>
    <col min="5" max="5" width="17.54296875" style="552" customWidth="1"/>
    <col min="6" max="6" width="29.54296875" style="552" customWidth="1"/>
    <col min="7" max="7" width="9.1796875" style="550"/>
    <col min="8" max="8" width="10.7265625" style="553" customWidth="1"/>
    <col min="9" max="9" width="11.81640625" style="554" customWidth="1"/>
    <col min="10" max="10" width="9.81640625" style="554" customWidth="1"/>
    <col min="11" max="11" width="14.1796875" style="555" customWidth="1"/>
    <col min="12" max="12" width="11.7265625" style="555" customWidth="1"/>
    <col min="13" max="13" width="8.7265625" style="552" bestFit="1" customWidth="1"/>
    <col min="14" max="19" width="8.453125" style="552" customWidth="1"/>
    <col min="20" max="21" width="10.81640625" style="552" customWidth="1"/>
    <col min="22" max="22" width="9" style="552" bestFit="1" customWidth="1"/>
    <col min="23" max="24" width="7.54296875" style="554" customWidth="1"/>
    <col min="25" max="27" width="8.81640625" style="552" customWidth="1"/>
    <col min="28" max="28" width="7.81640625" style="552" bestFit="1" customWidth="1"/>
    <col min="29" max="29" width="7.81640625" style="554" bestFit="1" customWidth="1"/>
    <col min="30" max="30" width="11" style="552" bestFit="1" customWidth="1"/>
    <col min="31" max="31" width="11" style="552" customWidth="1"/>
    <col min="32" max="32" width="7.81640625" style="552" customWidth="1"/>
    <col min="33" max="33" width="8.54296875" style="552" customWidth="1"/>
    <col min="34" max="34" width="5.7265625" style="552" bestFit="1" customWidth="1"/>
    <col min="35" max="35" width="9" style="552" customWidth="1"/>
    <col min="36" max="36" width="10.26953125" style="552" customWidth="1"/>
    <col min="37" max="38" width="11.1796875" style="554" customWidth="1"/>
    <col min="39" max="39" width="11" style="552" customWidth="1"/>
    <col min="40" max="42" width="11.1796875" style="554" customWidth="1"/>
    <col min="43" max="43" width="11.1796875" style="555" bestFit="1" customWidth="1"/>
    <col min="44" max="44" width="13.7265625" style="552" customWidth="1"/>
    <col min="45" max="257" width="5.54296875" style="552" customWidth="1"/>
    <col min="258" max="16384" width="9.1796875" style="552"/>
  </cols>
  <sheetData>
    <row r="1" spans="1:44" ht="15.5" x14ac:dyDescent="0.35">
      <c r="C1" s="34" t="s">
        <v>787</v>
      </c>
      <c r="D1" s="551"/>
      <c r="E1" s="34"/>
    </row>
    <row r="2" spans="1:44" ht="15.5" x14ac:dyDescent="0.35">
      <c r="C2" s="34"/>
      <c r="D2" s="551"/>
      <c r="E2" s="34"/>
    </row>
    <row r="3" spans="1:44" ht="15.5" x14ac:dyDescent="0.35">
      <c r="C3" s="34"/>
      <c r="D3" s="551"/>
      <c r="E3" s="34"/>
      <c r="F3" t="s">
        <v>783</v>
      </c>
      <c r="I3" s="556">
        <v>100</v>
      </c>
      <c r="AE3" s="1409" t="s">
        <v>186</v>
      </c>
      <c r="AF3" s="1409"/>
      <c r="AG3" s="1409"/>
      <c r="AH3" s="1409"/>
      <c r="AI3" s="1409"/>
      <c r="AJ3" s="1409"/>
      <c r="AK3" s="550"/>
      <c r="AL3" s="550"/>
      <c r="AN3" s="550"/>
      <c r="AO3" s="550"/>
      <c r="AP3" s="550"/>
    </row>
    <row r="4" spans="1:44" ht="15" thickBot="1" x14ac:dyDescent="0.4">
      <c r="I4" s="557"/>
      <c r="J4" s="557"/>
      <c r="K4" s="558"/>
      <c r="L4" s="558"/>
      <c r="M4" s="553"/>
      <c r="N4" s="553"/>
      <c r="O4" s="553"/>
      <c r="P4" s="553"/>
      <c r="Q4" s="553"/>
      <c r="R4" s="553"/>
      <c r="S4" s="553"/>
      <c r="T4" s="553"/>
      <c r="U4" s="553"/>
      <c r="V4" s="559"/>
      <c r="W4" s="557"/>
      <c r="X4" s="557"/>
      <c r="Y4" s="553"/>
      <c r="Z4" s="553" t="s">
        <v>254</v>
      </c>
      <c r="AA4" s="553"/>
      <c r="AB4" s="559"/>
      <c r="AC4" s="557"/>
      <c r="AD4" s="559"/>
      <c r="AE4" s="1406" t="s">
        <v>52</v>
      </c>
      <c r="AF4" s="1407"/>
      <c r="AG4" s="1407"/>
      <c r="AH4" s="1408"/>
      <c r="AI4" s="560"/>
      <c r="AJ4" s="561"/>
      <c r="AK4" s="562"/>
      <c r="AL4" s="562"/>
      <c r="AM4" s="559"/>
      <c r="AN4" s="562"/>
      <c r="AO4" s="562"/>
      <c r="AP4" s="562"/>
      <c r="AQ4" s="563"/>
    </row>
    <row r="5" spans="1:44" ht="33.75" customHeight="1" x14ac:dyDescent="0.35">
      <c r="B5" s="1" t="s">
        <v>291</v>
      </c>
      <c r="C5" s="564" t="s">
        <v>53</v>
      </c>
      <c r="D5" s="565" t="s">
        <v>54</v>
      </c>
      <c r="E5" s="566" t="s">
        <v>55</v>
      </c>
      <c r="F5" s="566" t="s">
        <v>56</v>
      </c>
      <c r="G5" s="567" t="s">
        <v>103</v>
      </c>
      <c r="H5" s="568" t="s">
        <v>79</v>
      </c>
      <c r="I5" s="569" t="s">
        <v>51</v>
      </c>
      <c r="J5" s="570" t="s">
        <v>57</v>
      </c>
      <c r="K5" s="571" t="s">
        <v>58</v>
      </c>
      <c r="L5" s="617" t="s">
        <v>359</v>
      </c>
      <c r="M5" s="572" t="s">
        <v>59</v>
      </c>
      <c r="N5" s="573" t="s">
        <v>192</v>
      </c>
      <c r="O5" s="573" t="s">
        <v>193</v>
      </c>
      <c r="P5" s="573" t="s">
        <v>47</v>
      </c>
      <c r="Q5" s="573" t="s">
        <v>83</v>
      </c>
      <c r="R5" s="573" t="s">
        <v>37</v>
      </c>
      <c r="S5" s="573" t="s">
        <v>801</v>
      </c>
      <c r="T5" s="573" t="s">
        <v>752</v>
      </c>
      <c r="U5" s="573" t="s">
        <v>755</v>
      </c>
      <c r="V5" s="573" t="s">
        <v>60</v>
      </c>
      <c r="W5" s="574" t="s">
        <v>61</v>
      </c>
      <c r="X5" s="574" t="s">
        <v>338</v>
      </c>
      <c r="Y5" s="572" t="s">
        <v>62</v>
      </c>
      <c r="Z5" s="573" t="s">
        <v>892</v>
      </c>
      <c r="AA5" s="572" t="s">
        <v>63</v>
      </c>
      <c r="AB5" s="573" t="s">
        <v>64</v>
      </c>
      <c r="AC5" s="575" t="s">
        <v>65</v>
      </c>
      <c r="AD5" s="573" t="s">
        <v>66</v>
      </c>
      <c r="AE5" s="572" t="s">
        <v>68</v>
      </c>
      <c r="AF5" s="572" t="s">
        <v>67</v>
      </c>
      <c r="AG5" s="572" t="s">
        <v>70</v>
      </c>
      <c r="AH5" s="572" t="s">
        <v>69</v>
      </c>
      <c r="AI5" s="572" t="s">
        <v>348</v>
      </c>
      <c r="AJ5" s="573" t="s">
        <v>134</v>
      </c>
      <c r="AK5" s="576" t="s">
        <v>228</v>
      </c>
      <c r="AL5" s="576" t="s">
        <v>244</v>
      </c>
      <c r="AM5" s="573" t="s">
        <v>320</v>
      </c>
      <c r="AN5" s="576" t="s">
        <v>84</v>
      </c>
      <c r="AO5" s="576" t="s">
        <v>297</v>
      </c>
      <c r="AP5" s="576" t="s">
        <v>929</v>
      </c>
      <c r="AQ5" s="577" t="s">
        <v>71</v>
      </c>
      <c r="AR5" s="550"/>
    </row>
    <row r="6" spans="1:44" x14ac:dyDescent="0.35">
      <c r="C6" s="612"/>
      <c r="H6" s="563"/>
      <c r="I6" s="1086"/>
      <c r="J6" s="579"/>
      <c r="K6" s="580"/>
      <c r="L6" s="580"/>
      <c r="M6" s="580"/>
      <c r="N6" s="580"/>
      <c r="O6" s="580"/>
      <c r="P6" s="580"/>
      <c r="Q6" s="580"/>
      <c r="R6" s="580"/>
      <c r="S6" s="580"/>
      <c r="T6" s="580"/>
      <c r="U6" s="580"/>
      <c r="V6" s="563"/>
      <c r="W6" s="581"/>
      <c r="X6" s="581"/>
      <c r="Y6" s="580"/>
      <c r="Z6" s="580"/>
      <c r="AA6" s="580"/>
      <c r="AB6" s="580"/>
      <c r="AC6" s="581"/>
      <c r="AD6" s="580"/>
      <c r="AE6" s="581"/>
      <c r="AF6" s="581"/>
      <c r="AG6" s="581"/>
      <c r="AH6" s="581"/>
      <c r="AI6" s="581"/>
      <c r="AJ6" s="580"/>
      <c r="AK6" s="580"/>
      <c r="AL6" s="580"/>
      <c r="AM6" s="580"/>
      <c r="AN6" s="580"/>
      <c r="AO6" s="580"/>
      <c r="AP6" s="580"/>
      <c r="AQ6" s="582"/>
      <c r="AR6" s="559"/>
    </row>
    <row r="7" spans="1:44" x14ac:dyDescent="0.35">
      <c r="A7" s="552">
        <v>1</v>
      </c>
      <c r="B7" s="550">
        <v>0</v>
      </c>
      <c r="C7" s="612">
        <v>45383</v>
      </c>
      <c r="D7" s="550">
        <v>2645</v>
      </c>
      <c r="E7" s="552" t="s">
        <v>788</v>
      </c>
      <c r="F7" t="s">
        <v>789</v>
      </c>
      <c r="G7" s="550" t="s">
        <v>790</v>
      </c>
      <c r="H7" s="563">
        <v>16.48</v>
      </c>
      <c r="I7" s="1278">
        <v>16.48</v>
      </c>
      <c r="J7" s="579">
        <f t="shared" ref="J7:J38" si="0">SUM(K7:AQ7)</f>
        <v>16.48</v>
      </c>
      <c r="K7" s="580">
        <v>0</v>
      </c>
      <c r="L7" s="580"/>
      <c r="M7" s="580"/>
      <c r="N7" s="580"/>
      <c r="O7" s="580"/>
      <c r="P7" s="580"/>
      <c r="Q7" s="580"/>
      <c r="R7" s="580"/>
      <c r="S7" s="580"/>
      <c r="T7" s="580"/>
      <c r="U7" s="580"/>
      <c r="V7" s="563"/>
      <c r="W7" s="581"/>
      <c r="X7" s="581"/>
      <c r="Y7" s="580"/>
      <c r="Z7" s="580"/>
      <c r="AA7" s="580"/>
      <c r="AB7" s="580"/>
      <c r="AC7" s="581"/>
      <c r="AD7" s="580"/>
      <c r="AE7" s="581"/>
      <c r="AF7" s="581"/>
      <c r="AG7" s="581"/>
      <c r="AH7" s="581"/>
      <c r="AI7" s="581"/>
      <c r="AJ7" s="580">
        <v>16.48</v>
      </c>
      <c r="AK7" s="580"/>
      <c r="AL7" s="580"/>
      <c r="AM7" s="580"/>
      <c r="AN7" s="580"/>
      <c r="AO7" s="580"/>
      <c r="AP7" s="580"/>
      <c r="AQ7" s="582"/>
      <c r="AR7" s="559"/>
    </row>
    <row r="8" spans="1:44" x14ac:dyDescent="0.35">
      <c r="A8" s="552">
        <v>2</v>
      </c>
      <c r="B8" s="550">
        <v>0</v>
      </c>
      <c r="C8" s="583">
        <v>45399</v>
      </c>
      <c r="D8" s="584">
        <v>2647</v>
      </c>
      <c r="E8" s="35" t="s">
        <v>791</v>
      </c>
      <c r="F8" s="35" t="s">
        <v>792</v>
      </c>
      <c r="G8" s="550" t="s">
        <v>794</v>
      </c>
      <c r="H8" s="607">
        <v>933.81</v>
      </c>
      <c r="I8" s="1228"/>
      <c r="J8" s="579">
        <f t="shared" si="0"/>
        <v>933.81</v>
      </c>
      <c r="K8" s="580">
        <v>0</v>
      </c>
      <c r="L8" s="580"/>
      <c r="M8" s="580">
        <v>933.81</v>
      </c>
      <c r="N8" s="580"/>
      <c r="O8" s="580"/>
      <c r="P8" s="580"/>
      <c r="Q8" s="580"/>
      <c r="R8" s="580"/>
      <c r="S8" s="580"/>
      <c r="T8" s="580"/>
      <c r="U8" s="580"/>
      <c r="V8" s="563"/>
      <c r="W8" s="581"/>
      <c r="X8" s="581"/>
      <c r="Y8" s="580"/>
      <c r="Z8" s="580"/>
      <c r="AA8" s="580"/>
      <c r="AB8" s="580"/>
      <c r="AC8" s="581"/>
      <c r="AD8" s="580"/>
      <c r="AE8" s="581"/>
      <c r="AF8" s="581"/>
      <c r="AG8" s="581"/>
      <c r="AH8" s="581"/>
      <c r="AI8" s="581"/>
      <c r="AJ8" s="580"/>
      <c r="AK8" s="580"/>
      <c r="AL8" s="580"/>
      <c r="AM8" s="580"/>
      <c r="AN8" s="580"/>
      <c r="AO8" s="580"/>
      <c r="AP8" s="580"/>
      <c r="AQ8" s="582"/>
      <c r="AR8" s="559"/>
    </row>
    <row r="9" spans="1:44" x14ac:dyDescent="0.35">
      <c r="A9" s="552">
        <v>3</v>
      </c>
      <c r="B9" s="550">
        <v>220430231</v>
      </c>
      <c r="C9" s="583">
        <v>45399</v>
      </c>
      <c r="D9" s="584">
        <v>2647</v>
      </c>
      <c r="E9" s="35" t="s">
        <v>791</v>
      </c>
      <c r="F9" s="35" t="s">
        <v>795</v>
      </c>
      <c r="G9" s="550" t="s">
        <v>794</v>
      </c>
      <c r="H9" s="607">
        <v>33.700000000000003</v>
      </c>
      <c r="I9" s="1230">
        <f>SUM(H8:H9)</f>
        <v>967.51</v>
      </c>
      <c r="J9" s="579">
        <f t="shared" si="0"/>
        <v>33.700000000000003</v>
      </c>
      <c r="K9" s="580">
        <v>1.28</v>
      </c>
      <c r="L9" s="580"/>
      <c r="M9" s="580"/>
      <c r="N9" s="580"/>
      <c r="O9" s="580"/>
      <c r="P9" s="580"/>
      <c r="Q9" s="580"/>
      <c r="R9" s="580"/>
      <c r="S9" s="580"/>
      <c r="T9" s="580">
        <v>26</v>
      </c>
      <c r="U9" s="580"/>
      <c r="V9" s="563">
        <v>6.42</v>
      </c>
      <c r="W9" s="581"/>
      <c r="X9" s="581"/>
      <c r="Y9" s="580"/>
      <c r="Z9" s="580"/>
      <c r="AA9" s="580"/>
      <c r="AB9" s="580"/>
      <c r="AC9" s="581"/>
      <c r="AD9" s="580"/>
      <c r="AE9" s="581"/>
      <c r="AF9" s="581"/>
      <c r="AG9" s="581"/>
      <c r="AH9" s="581"/>
      <c r="AI9" s="581"/>
      <c r="AJ9" s="580"/>
      <c r="AK9" s="580"/>
      <c r="AL9" s="580"/>
      <c r="AM9" s="580"/>
      <c r="AN9" s="580"/>
      <c r="AO9" s="580"/>
      <c r="AP9" s="580"/>
      <c r="AQ9" s="582"/>
      <c r="AR9" s="559"/>
    </row>
    <row r="10" spans="1:44" x14ac:dyDescent="0.35">
      <c r="A10">
        <v>4</v>
      </c>
      <c r="B10" s="550">
        <v>0</v>
      </c>
      <c r="C10" s="583">
        <v>45399</v>
      </c>
      <c r="D10" s="584">
        <v>2648</v>
      </c>
      <c r="E10" s="35" t="s">
        <v>796</v>
      </c>
      <c r="F10" s="35" t="s">
        <v>797</v>
      </c>
      <c r="G10" s="550" t="s">
        <v>793</v>
      </c>
      <c r="H10" s="607">
        <v>323.24</v>
      </c>
      <c r="I10" s="1230">
        <v>323.24</v>
      </c>
      <c r="J10" s="579">
        <f t="shared" si="0"/>
        <v>323.24</v>
      </c>
      <c r="K10" s="580">
        <v>0</v>
      </c>
      <c r="L10" s="580"/>
      <c r="M10" s="580">
        <v>254.34</v>
      </c>
      <c r="N10" s="580">
        <v>68.900000000000006</v>
      </c>
      <c r="O10" s="580"/>
      <c r="P10" s="580"/>
      <c r="Q10" s="580"/>
      <c r="R10" s="580"/>
      <c r="S10" s="580"/>
      <c r="T10" s="580"/>
      <c r="U10" s="580"/>
      <c r="V10" s="563"/>
      <c r="W10" s="581"/>
      <c r="X10" s="581"/>
      <c r="Y10" s="580"/>
      <c r="Z10" s="580"/>
      <c r="AA10" s="580"/>
      <c r="AB10" s="580"/>
      <c r="AC10" s="581"/>
      <c r="AD10" s="580"/>
      <c r="AE10" s="581"/>
      <c r="AF10" s="581"/>
      <c r="AG10" s="581"/>
      <c r="AH10" s="581"/>
      <c r="AI10" s="581"/>
      <c r="AJ10" s="580"/>
      <c r="AK10" s="580"/>
      <c r="AL10" s="580"/>
      <c r="AM10" s="580"/>
      <c r="AN10" s="580"/>
      <c r="AO10" s="580"/>
      <c r="AP10" s="580"/>
      <c r="AQ10" s="582"/>
      <c r="AR10" s="559"/>
    </row>
    <row r="11" spans="1:44" x14ac:dyDescent="0.35">
      <c r="A11">
        <v>5</v>
      </c>
      <c r="B11" s="550">
        <v>0</v>
      </c>
      <c r="C11" s="583">
        <v>45399</v>
      </c>
      <c r="D11" s="584">
        <v>2649</v>
      </c>
      <c r="E11" s="35" t="s">
        <v>799</v>
      </c>
      <c r="F11" s="35" t="s">
        <v>798</v>
      </c>
      <c r="G11" s="550" t="s">
        <v>800</v>
      </c>
      <c r="H11" s="607">
        <v>349.53</v>
      </c>
      <c r="I11" s="1230">
        <v>349.53</v>
      </c>
      <c r="J11" s="579">
        <f t="shared" si="0"/>
        <v>349.53</v>
      </c>
      <c r="K11" s="580">
        <v>0</v>
      </c>
      <c r="L11" s="580"/>
      <c r="M11" s="580">
        <v>69.150000000000006</v>
      </c>
      <c r="N11" s="580"/>
      <c r="O11" s="580">
        <v>280.38</v>
      </c>
      <c r="P11" s="580"/>
      <c r="Q11" s="580"/>
      <c r="R11" s="580"/>
      <c r="S11" s="580"/>
      <c r="T11" s="580"/>
      <c r="U11" s="580"/>
      <c r="V11" s="563"/>
      <c r="W11" s="581"/>
      <c r="X11" s="581"/>
      <c r="Y11" s="580"/>
      <c r="Z11" s="580"/>
      <c r="AA11" s="580"/>
      <c r="AB11" s="580"/>
      <c r="AC11" s="581"/>
      <c r="AD11" s="580"/>
      <c r="AE11" s="581"/>
      <c r="AF11" s="581"/>
      <c r="AG11" s="581"/>
      <c r="AH11" s="581"/>
      <c r="AI11" s="581"/>
      <c r="AJ11" s="580"/>
      <c r="AK11" s="580"/>
      <c r="AL11" s="580"/>
      <c r="AM11" s="580"/>
      <c r="AN11" s="580"/>
      <c r="AO11" s="580"/>
      <c r="AP11" s="580"/>
      <c r="AQ11" s="582"/>
      <c r="AR11" s="559"/>
    </row>
    <row r="12" spans="1:44" x14ac:dyDescent="0.35">
      <c r="A12">
        <v>6</v>
      </c>
      <c r="B12" s="550">
        <v>0</v>
      </c>
      <c r="C12" s="583">
        <v>45399</v>
      </c>
      <c r="D12" s="584">
        <v>2650</v>
      </c>
      <c r="E12" s="35" t="s">
        <v>801</v>
      </c>
      <c r="F12" s="35" t="s">
        <v>802</v>
      </c>
      <c r="G12" s="550" t="s">
        <v>803</v>
      </c>
      <c r="H12" s="607">
        <v>132.24</v>
      </c>
      <c r="I12" s="1230">
        <v>132.24</v>
      </c>
      <c r="J12" s="579">
        <f t="shared" si="0"/>
        <v>132.24</v>
      </c>
      <c r="K12" s="580">
        <v>0</v>
      </c>
      <c r="L12" s="580"/>
      <c r="M12" s="580"/>
      <c r="N12" s="580"/>
      <c r="O12" s="580"/>
      <c r="P12" s="580"/>
      <c r="Q12" s="580"/>
      <c r="R12" s="580"/>
      <c r="S12" s="580"/>
      <c r="T12" s="580"/>
      <c r="U12" s="580"/>
      <c r="V12" s="563">
        <v>132.24</v>
      </c>
      <c r="W12" s="581"/>
      <c r="X12" s="581"/>
      <c r="Y12" s="580"/>
      <c r="Z12" s="580"/>
      <c r="AA12" s="580"/>
      <c r="AB12" s="580"/>
      <c r="AC12" s="581"/>
      <c r="AD12" s="580"/>
      <c r="AE12" s="581"/>
      <c r="AF12" s="581"/>
      <c r="AG12" s="581"/>
      <c r="AH12" s="581"/>
      <c r="AI12" s="581"/>
      <c r="AJ12" s="580"/>
      <c r="AK12" s="580"/>
      <c r="AL12" s="580"/>
      <c r="AM12" s="580"/>
      <c r="AN12" s="580"/>
      <c r="AO12" s="580"/>
      <c r="AP12" s="580"/>
      <c r="AQ12" s="582"/>
      <c r="AR12" s="559"/>
    </row>
    <row r="13" spans="1:44" x14ac:dyDescent="0.35">
      <c r="A13" s="552">
        <v>7</v>
      </c>
      <c r="B13" s="550">
        <v>297094655</v>
      </c>
      <c r="C13" s="583">
        <v>45399</v>
      </c>
      <c r="D13" s="584">
        <v>2651</v>
      </c>
      <c r="E13" s="35" t="s">
        <v>804</v>
      </c>
      <c r="F13" s="35" t="s">
        <v>805</v>
      </c>
      <c r="G13" s="550" t="s">
        <v>806</v>
      </c>
      <c r="H13" s="607">
        <v>2747.99</v>
      </c>
      <c r="I13" s="1230">
        <v>2747.99</v>
      </c>
      <c r="J13" s="579">
        <f t="shared" si="0"/>
        <v>2747.99</v>
      </c>
      <c r="K13" s="580">
        <v>458</v>
      </c>
      <c r="L13" s="580"/>
      <c r="M13" s="580"/>
      <c r="N13" s="580"/>
      <c r="O13" s="580"/>
      <c r="P13" s="580"/>
      <c r="Q13" s="580"/>
      <c r="R13" s="580"/>
      <c r="S13" s="580"/>
      <c r="T13" s="580"/>
      <c r="U13" s="580"/>
      <c r="V13" s="563"/>
      <c r="W13" s="581"/>
      <c r="X13" s="581"/>
      <c r="Y13" s="580"/>
      <c r="Z13" s="580"/>
      <c r="AA13" s="580"/>
      <c r="AB13" s="580"/>
      <c r="AC13" s="581"/>
      <c r="AD13" s="580"/>
      <c r="AE13" s="581"/>
      <c r="AF13" s="581"/>
      <c r="AG13" s="581"/>
      <c r="AH13" s="581"/>
      <c r="AI13" s="581"/>
      <c r="AJ13" s="580"/>
      <c r="AK13" s="580"/>
      <c r="AL13" s="580"/>
      <c r="AM13" s="580"/>
      <c r="AN13" s="580"/>
      <c r="AO13" s="580">
        <v>2289.9899999999998</v>
      </c>
      <c r="AP13" s="580"/>
      <c r="AQ13" s="582"/>
      <c r="AR13" s="559"/>
    </row>
    <row r="14" spans="1:44" x14ac:dyDescent="0.35">
      <c r="A14" s="552">
        <v>8</v>
      </c>
      <c r="B14" s="550">
        <v>358672751</v>
      </c>
      <c r="C14" s="583">
        <v>45399</v>
      </c>
      <c r="D14" s="584" t="s">
        <v>810</v>
      </c>
      <c r="E14" s="35" t="s">
        <v>807</v>
      </c>
      <c r="F14" s="35" t="s">
        <v>808</v>
      </c>
      <c r="G14" s="550" t="s">
        <v>809</v>
      </c>
      <c r="H14" s="607">
        <v>5.1100000000000003</v>
      </c>
      <c r="I14" s="1230">
        <v>5.1100000000000003</v>
      </c>
      <c r="J14" s="579">
        <f t="shared" si="0"/>
        <v>5.1100000000000003</v>
      </c>
      <c r="K14" s="580">
        <v>0</v>
      </c>
      <c r="L14" s="580"/>
      <c r="M14" s="580"/>
      <c r="N14" s="580"/>
      <c r="O14" s="580"/>
      <c r="P14" s="580"/>
      <c r="Q14" s="580"/>
      <c r="R14" s="580"/>
      <c r="S14" s="580"/>
      <c r="T14" s="580"/>
      <c r="U14" s="580"/>
      <c r="V14" s="563"/>
      <c r="W14" s="581"/>
      <c r="X14" s="581"/>
      <c r="Y14" s="580"/>
      <c r="Z14" s="580"/>
      <c r="AA14" s="580"/>
      <c r="AB14" s="580"/>
      <c r="AC14" s="581"/>
      <c r="AD14" s="580"/>
      <c r="AE14" s="581"/>
      <c r="AF14" s="581"/>
      <c r="AG14" s="581">
        <v>5.1100000000000003</v>
      </c>
      <c r="AH14" s="581"/>
      <c r="AI14" s="581"/>
      <c r="AJ14" s="580"/>
      <c r="AK14" s="580"/>
      <c r="AL14" s="580"/>
      <c r="AM14" s="580"/>
      <c r="AN14" s="580"/>
      <c r="AO14" s="580"/>
      <c r="AP14" s="580"/>
      <c r="AQ14" s="582"/>
      <c r="AR14" s="559"/>
    </row>
    <row r="15" spans="1:44" x14ac:dyDescent="0.35">
      <c r="A15" s="552">
        <v>9</v>
      </c>
      <c r="B15" s="550">
        <v>358672751</v>
      </c>
      <c r="C15" s="583">
        <v>45399</v>
      </c>
      <c r="D15" s="584" t="s">
        <v>810</v>
      </c>
      <c r="E15" s="35" t="s">
        <v>807</v>
      </c>
      <c r="F15" s="35" t="s">
        <v>811</v>
      </c>
      <c r="G15" s="550" t="s">
        <v>812</v>
      </c>
      <c r="H15" s="607">
        <v>42.78</v>
      </c>
      <c r="I15" s="1230">
        <v>42.78</v>
      </c>
      <c r="J15" s="579">
        <f t="shared" si="0"/>
        <v>42.78</v>
      </c>
      <c r="K15" s="580">
        <v>0</v>
      </c>
      <c r="L15" s="580"/>
      <c r="M15" s="580"/>
      <c r="N15" s="580"/>
      <c r="O15" s="580"/>
      <c r="P15" s="580"/>
      <c r="Q15" s="580"/>
      <c r="R15" s="580"/>
      <c r="S15" s="580"/>
      <c r="T15" s="580"/>
      <c r="U15" s="580"/>
      <c r="V15" s="563"/>
      <c r="W15" s="581"/>
      <c r="X15" s="581"/>
      <c r="Y15" s="580"/>
      <c r="Z15" s="580"/>
      <c r="AA15" s="580"/>
      <c r="AB15" s="580"/>
      <c r="AC15" s="581"/>
      <c r="AD15" s="580"/>
      <c r="AE15" s="581"/>
      <c r="AF15" s="581"/>
      <c r="AG15" s="581">
        <v>42.78</v>
      </c>
      <c r="AH15" s="581"/>
      <c r="AI15" s="581"/>
      <c r="AJ15" s="580"/>
      <c r="AK15" s="580"/>
      <c r="AL15" s="580"/>
      <c r="AM15" s="580"/>
      <c r="AN15" s="580"/>
      <c r="AO15" s="580"/>
      <c r="AP15" s="580"/>
      <c r="AQ15" s="582"/>
      <c r="AR15" s="559"/>
    </row>
    <row r="16" spans="1:44" x14ac:dyDescent="0.35">
      <c r="A16">
        <v>10</v>
      </c>
      <c r="B16" s="550">
        <v>0</v>
      </c>
      <c r="C16" s="583">
        <v>45399</v>
      </c>
      <c r="D16" s="584">
        <v>2652</v>
      </c>
      <c r="E16" s="35" t="s">
        <v>37</v>
      </c>
      <c r="F16" s="35" t="s">
        <v>813</v>
      </c>
      <c r="G16" s="550" t="s">
        <v>814</v>
      </c>
      <c r="H16" s="607">
        <v>20</v>
      </c>
      <c r="I16" s="1230">
        <v>20</v>
      </c>
      <c r="J16" s="579">
        <f t="shared" si="0"/>
        <v>20</v>
      </c>
      <c r="K16" s="580">
        <v>0</v>
      </c>
      <c r="L16" s="580"/>
      <c r="M16" s="580"/>
      <c r="N16" s="580"/>
      <c r="O16" s="580"/>
      <c r="P16" s="580"/>
      <c r="Q16" s="580"/>
      <c r="R16" s="580"/>
      <c r="S16" s="580"/>
      <c r="T16" s="580"/>
      <c r="U16" s="580"/>
      <c r="V16" s="563"/>
      <c r="W16" s="581"/>
      <c r="X16" s="581">
        <v>20</v>
      </c>
      <c r="Y16" s="580"/>
      <c r="Z16" s="580"/>
      <c r="AA16" s="580"/>
      <c r="AB16" s="580"/>
      <c r="AC16" s="581"/>
      <c r="AD16" s="580"/>
      <c r="AE16" s="581"/>
      <c r="AF16" s="581"/>
      <c r="AG16" s="581"/>
      <c r="AH16" s="581"/>
      <c r="AI16" s="581"/>
      <c r="AJ16" s="580"/>
      <c r="AK16" s="580"/>
      <c r="AL16" s="580"/>
      <c r="AM16" s="580"/>
      <c r="AN16" s="580"/>
      <c r="AO16" s="580"/>
      <c r="AP16" s="580"/>
      <c r="AQ16" s="582"/>
      <c r="AR16" s="559"/>
    </row>
    <row r="17" spans="1:44" x14ac:dyDescent="0.35">
      <c r="A17" s="552">
        <v>11</v>
      </c>
      <c r="B17" s="550">
        <v>0</v>
      </c>
      <c r="C17" s="583">
        <v>45427</v>
      </c>
      <c r="D17" s="584">
        <v>2653</v>
      </c>
      <c r="E17" s="35" t="s">
        <v>791</v>
      </c>
      <c r="F17" s="35" t="s">
        <v>815</v>
      </c>
      <c r="G17" s="550" t="s">
        <v>816</v>
      </c>
      <c r="H17" s="607">
        <v>933.82</v>
      </c>
      <c r="I17" s="1228"/>
      <c r="J17" s="579">
        <f t="shared" si="0"/>
        <v>933.82</v>
      </c>
      <c r="K17" s="580">
        <v>0</v>
      </c>
      <c r="L17" s="580"/>
      <c r="M17" s="580">
        <v>933.82</v>
      </c>
      <c r="N17" s="580"/>
      <c r="O17" s="580"/>
      <c r="P17" s="580"/>
      <c r="Q17" s="580"/>
      <c r="R17" s="580"/>
      <c r="S17" s="580"/>
      <c r="T17" s="580"/>
      <c r="U17" s="580"/>
      <c r="V17" s="563"/>
      <c r="W17" s="581"/>
      <c r="X17" s="581"/>
      <c r="Y17" s="580"/>
      <c r="Z17" s="580"/>
      <c r="AA17" s="580"/>
      <c r="AB17" s="580"/>
      <c r="AC17" s="581"/>
      <c r="AD17" s="580"/>
      <c r="AE17" s="581"/>
      <c r="AF17" s="581"/>
      <c r="AG17" s="581"/>
      <c r="AH17" s="581"/>
      <c r="AI17" s="581"/>
      <c r="AJ17" s="580"/>
      <c r="AK17" s="580"/>
      <c r="AL17" s="580"/>
      <c r="AM17" s="580"/>
      <c r="AN17" s="580"/>
      <c r="AO17" s="580"/>
      <c r="AP17" s="580"/>
      <c r="AQ17" s="582"/>
      <c r="AR17" s="559"/>
    </row>
    <row r="18" spans="1:44" x14ac:dyDescent="0.35">
      <c r="A18" s="552">
        <v>12</v>
      </c>
      <c r="B18" s="550">
        <v>0</v>
      </c>
      <c r="C18" s="583">
        <v>45427</v>
      </c>
      <c r="D18" s="584">
        <v>2653</v>
      </c>
      <c r="E18" s="35" t="s">
        <v>791</v>
      </c>
      <c r="F18" s="35" t="s">
        <v>817</v>
      </c>
      <c r="G18" s="550" t="s">
        <v>816</v>
      </c>
      <c r="H18" s="607">
        <v>26</v>
      </c>
      <c r="I18" s="1228"/>
      <c r="J18" s="579">
        <f t="shared" si="0"/>
        <v>26</v>
      </c>
      <c r="K18" s="580">
        <v>0</v>
      </c>
      <c r="L18" s="580"/>
      <c r="M18" s="580"/>
      <c r="N18" s="580"/>
      <c r="O18" s="580"/>
      <c r="P18" s="580"/>
      <c r="Q18" s="580"/>
      <c r="R18" s="580"/>
      <c r="S18" s="580"/>
      <c r="T18" s="580">
        <v>26</v>
      </c>
      <c r="U18" s="580"/>
      <c r="V18" s="563"/>
      <c r="W18" s="581"/>
      <c r="X18" s="581"/>
      <c r="Y18" s="580"/>
      <c r="Z18" s="580"/>
      <c r="AA18" s="580"/>
      <c r="AB18" s="580"/>
      <c r="AC18" s="581"/>
      <c r="AD18" s="580"/>
      <c r="AE18" s="581"/>
      <c r="AF18" s="581"/>
      <c r="AG18" s="581"/>
      <c r="AH18" s="581"/>
      <c r="AI18" s="581"/>
      <c r="AJ18" s="580"/>
      <c r="AK18" s="580"/>
      <c r="AL18" s="580"/>
      <c r="AM18" s="580"/>
      <c r="AN18" s="580"/>
      <c r="AO18" s="580"/>
      <c r="AP18" s="580"/>
      <c r="AQ18" s="582"/>
      <c r="AR18" s="559"/>
    </row>
    <row r="19" spans="1:44" x14ac:dyDescent="0.35">
      <c r="A19" s="552">
        <v>13</v>
      </c>
      <c r="B19" s="550">
        <v>0</v>
      </c>
      <c r="C19" s="583">
        <v>45427</v>
      </c>
      <c r="D19" s="584">
        <v>2653</v>
      </c>
      <c r="E19" s="35" t="s">
        <v>791</v>
      </c>
      <c r="F19" s="35" t="s">
        <v>827</v>
      </c>
      <c r="G19" s="550" t="s">
        <v>816</v>
      </c>
      <c r="H19" s="607">
        <v>0</v>
      </c>
      <c r="I19" s="1230">
        <f>SUM(H17:H19)</f>
        <v>959.82</v>
      </c>
      <c r="J19" s="579">
        <f t="shared" si="0"/>
        <v>0</v>
      </c>
      <c r="K19" s="580">
        <v>0</v>
      </c>
      <c r="L19" s="580"/>
      <c r="M19" s="580"/>
      <c r="N19" s="580"/>
      <c r="O19" s="580"/>
      <c r="P19" s="580"/>
      <c r="Q19" s="580"/>
      <c r="R19" s="580"/>
      <c r="S19" s="580"/>
      <c r="T19" s="580"/>
      <c r="U19" s="580"/>
      <c r="V19" s="563"/>
      <c r="W19" s="581"/>
      <c r="X19" s="581"/>
      <c r="Y19" s="580"/>
      <c r="Z19" s="580"/>
      <c r="AA19" s="580"/>
      <c r="AB19" s="580"/>
      <c r="AC19" s="581"/>
      <c r="AD19" s="580"/>
      <c r="AE19" s="581"/>
      <c r="AF19" s="581"/>
      <c r="AG19" s="581"/>
      <c r="AH19" s="581"/>
      <c r="AI19" s="581"/>
      <c r="AJ19" s="580"/>
      <c r="AK19" s="580"/>
      <c r="AL19" s="580"/>
      <c r="AM19" s="580"/>
      <c r="AN19" s="580"/>
      <c r="AO19" s="580"/>
      <c r="AP19" s="580"/>
      <c r="AQ19" s="582"/>
      <c r="AR19" s="559"/>
    </row>
    <row r="20" spans="1:44" x14ac:dyDescent="0.35">
      <c r="A20">
        <v>14</v>
      </c>
      <c r="B20" s="550">
        <v>0</v>
      </c>
      <c r="C20" s="583">
        <v>45427</v>
      </c>
      <c r="D20" s="584">
        <v>2654</v>
      </c>
      <c r="E20" s="35" t="s">
        <v>796</v>
      </c>
      <c r="F20" s="35" t="s">
        <v>818</v>
      </c>
      <c r="G20" s="550" t="s">
        <v>819</v>
      </c>
      <c r="H20" s="607">
        <v>323.24</v>
      </c>
      <c r="I20" s="1230">
        <v>323.24</v>
      </c>
      <c r="J20" s="579">
        <f t="shared" si="0"/>
        <v>323.24</v>
      </c>
      <c r="K20" s="580">
        <v>0</v>
      </c>
      <c r="L20" s="580"/>
      <c r="M20" s="580">
        <v>254.34</v>
      </c>
      <c r="N20" s="580">
        <v>68.900000000000006</v>
      </c>
      <c r="O20" s="580"/>
      <c r="P20" s="580"/>
      <c r="Q20" s="580"/>
      <c r="R20" s="580"/>
      <c r="S20" s="580"/>
      <c r="T20" s="580"/>
      <c r="U20" s="580"/>
      <c r="V20" s="563"/>
      <c r="W20" s="581"/>
      <c r="X20" s="581"/>
      <c r="Y20" s="580"/>
      <c r="Z20" s="580"/>
      <c r="AA20" s="580"/>
      <c r="AB20" s="580"/>
      <c r="AC20" s="581"/>
      <c r="AD20" s="580"/>
      <c r="AE20" s="581"/>
      <c r="AF20" s="581"/>
      <c r="AG20" s="581"/>
      <c r="AH20" s="581"/>
      <c r="AI20" s="581"/>
      <c r="AJ20" s="580"/>
      <c r="AK20" s="580"/>
      <c r="AL20" s="580"/>
      <c r="AM20" s="580"/>
      <c r="AN20" s="580"/>
      <c r="AO20" s="580"/>
      <c r="AP20" s="580"/>
      <c r="AQ20" s="582"/>
      <c r="AR20" s="559"/>
    </row>
    <row r="21" spans="1:44" x14ac:dyDescent="0.35">
      <c r="A21">
        <v>15</v>
      </c>
      <c r="B21" s="550">
        <v>0</v>
      </c>
      <c r="C21" s="583">
        <v>45427</v>
      </c>
      <c r="D21" s="584">
        <v>2655</v>
      </c>
      <c r="E21" s="35" t="s">
        <v>799</v>
      </c>
      <c r="F21" s="35" t="s">
        <v>820</v>
      </c>
      <c r="G21" s="550" t="s">
        <v>821</v>
      </c>
      <c r="H21" s="607">
        <v>349.52</v>
      </c>
      <c r="I21" s="1230">
        <v>349.52</v>
      </c>
      <c r="J21" s="579">
        <f t="shared" si="0"/>
        <v>349.52</v>
      </c>
      <c r="K21" s="580">
        <v>0</v>
      </c>
      <c r="L21" s="580"/>
      <c r="M21" s="580">
        <v>69.14</v>
      </c>
      <c r="N21" s="580"/>
      <c r="O21" s="580">
        <v>280.38</v>
      </c>
      <c r="P21" s="580"/>
      <c r="Q21" s="580"/>
      <c r="R21" s="580"/>
      <c r="S21" s="580"/>
      <c r="T21" s="580"/>
      <c r="U21" s="580"/>
      <c r="V21" s="563"/>
      <c r="W21" s="581"/>
      <c r="X21" s="581"/>
      <c r="Y21" s="580"/>
      <c r="Z21" s="580"/>
      <c r="AA21" s="580"/>
      <c r="AB21" s="580"/>
      <c r="AC21" s="581"/>
      <c r="AD21" s="580"/>
      <c r="AE21" s="581"/>
      <c r="AF21" s="581"/>
      <c r="AG21" s="581"/>
      <c r="AH21" s="581"/>
      <c r="AI21" s="581"/>
      <c r="AJ21" s="580"/>
      <c r="AK21" s="580"/>
      <c r="AL21" s="580"/>
      <c r="AM21" s="580"/>
      <c r="AN21" s="580"/>
      <c r="AO21" s="580"/>
      <c r="AP21" s="580"/>
      <c r="AQ21" s="582"/>
      <c r="AR21" s="559"/>
    </row>
    <row r="22" spans="1:44" x14ac:dyDescent="0.35">
      <c r="A22">
        <v>16</v>
      </c>
      <c r="B22" s="550">
        <v>297094655</v>
      </c>
      <c r="C22" s="583">
        <v>45427</v>
      </c>
      <c r="D22" s="584">
        <v>2656</v>
      </c>
      <c r="E22" s="35" t="s">
        <v>822</v>
      </c>
      <c r="F22" s="35" t="s">
        <v>823</v>
      </c>
      <c r="G22" s="550" t="s">
        <v>824</v>
      </c>
      <c r="H22" s="607">
        <v>103.94</v>
      </c>
      <c r="I22" s="1230">
        <v>103.94</v>
      </c>
      <c r="J22" s="579">
        <f t="shared" si="0"/>
        <v>103.94</v>
      </c>
      <c r="K22" s="580">
        <v>17.32</v>
      </c>
      <c r="L22" s="580"/>
      <c r="M22" s="580"/>
      <c r="N22" s="580"/>
      <c r="O22" s="580"/>
      <c r="P22" s="580"/>
      <c r="Q22" s="580"/>
      <c r="R22" s="580"/>
      <c r="S22" s="580"/>
      <c r="T22" s="580"/>
      <c r="U22" s="580"/>
      <c r="V22" s="563"/>
      <c r="W22" s="581"/>
      <c r="X22" s="581"/>
      <c r="Y22" s="580"/>
      <c r="Z22" s="580"/>
      <c r="AA22" s="580"/>
      <c r="AB22" s="580"/>
      <c r="AC22" s="581"/>
      <c r="AD22" s="580"/>
      <c r="AE22" s="581"/>
      <c r="AF22" s="581"/>
      <c r="AG22" s="581"/>
      <c r="AH22" s="581"/>
      <c r="AI22" s="581"/>
      <c r="AJ22" s="580"/>
      <c r="AK22" s="580"/>
      <c r="AL22" s="580"/>
      <c r="AM22" s="580"/>
      <c r="AN22" s="580"/>
      <c r="AO22" s="580">
        <v>86.62</v>
      </c>
      <c r="AP22" s="580"/>
      <c r="AQ22" s="582"/>
      <c r="AR22" s="559"/>
    </row>
    <row r="23" spans="1:44" x14ac:dyDescent="0.35">
      <c r="A23" s="552">
        <v>17</v>
      </c>
      <c r="B23" s="550">
        <v>358672751</v>
      </c>
      <c r="C23" s="583">
        <v>45427</v>
      </c>
      <c r="D23" s="584" t="s">
        <v>810</v>
      </c>
      <c r="E23" s="35" t="s">
        <v>807</v>
      </c>
      <c r="F23" s="35" t="s">
        <v>825</v>
      </c>
      <c r="G23" s="550" t="s">
        <v>826</v>
      </c>
      <c r="H23" s="563">
        <v>14.42</v>
      </c>
      <c r="I23" s="1230">
        <v>14.42</v>
      </c>
      <c r="J23" s="579">
        <f t="shared" si="0"/>
        <v>14.42</v>
      </c>
      <c r="K23" s="580">
        <v>0</v>
      </c>
      <c r="L23" s="580"/>
      <c r="M23" s="580"/>
      <c r="N23" s="580"/>
      <c r="O23" s="580"/>
      <c r="P23" s="580"/>
      <c r="Q23" s="580"/>
      <c r="R23" s="580"/>
      <c r="S23" s="580"/>
      <c r="T23" s="580"/>
      <c r="U23" s="580"/>
      <c r="V23" s="563"/>
      <c r="W23" s="581"/>
      <c r="X23" s="581"/>
      <c r="Y23" s="580"/>
      <c r="Z23" s="580"/>
      <c r="AA23" s="580"/>
      <c r="AB23" s="580"/>
      <c r="AC23" s="581"/>
      <c r="AD23" s="580"/>
      <c r="AE23" s="581"/>
      <c r="AF23" s="581"/>
      <c r="AG23" s="581">
        <v>14.42</v>
      </c>
      <c r="AH23" s="581"/>
      <c r="AI23" s="581"/>
      <c r="AJ23" s="580"/>
      <c r="AK23" s="580"/>
      <c r="AL23" s="580"/>
      <c r="AM23" s="580"/>
      <c r="AN23" s="580"/>
      <c r="AO23" s="580"/>
      <c r="AP23" s="580"/>
      <c r="AQ23" s="582"/>
      <c r="AR23" s="559"/>
    </row>
    <row r="24" spans="1:44" x14ac:dyDescent="0.35">
      <c r="A24" s="552">
        <v>18</v>
      </c>
      <c r="B24" s="550">
        <v>0</v>
      </c>
      <c r="C24" s="583">
        <v>45427</v>
      </c>
      <c r="D24" s="584">
        <v>2657</v>
      </c>
      <c r="E24" s="35" t="s">
        <v>834</v>
      </c>
      <c r="F24" s="35" t="s">
        <v>835</v>
      </c>
      <c r="G24" s="550" t="s">
        <v>836</v>
      </c>
      <c r="H24" s="563">
        <v>165</v>
      </c>
      <c r="I24" s="1230">
        <v>165</v>
      </c>
      <c r="J24" s="579">
        <f t="shared" si="0"/>
        <v>165</v>
      </c>
      <c r="K24" s="580">
        <v>0</v>
      </c>
      <c r="L24" s="580"/>
      <c r="M24" s="580"/>
      <c r="N24" s="580"/>
      <c r="O24" s="580"/>
      <c r="P24" s="580"/>
      <c r="Q24" s="580"/>
      <c r="R24" s="580"/>
      <c r="S24" s="580"/>
      <c r="T24" s="580"/>
      <c r="U24" s="580"/>
      <c r="V24" s="563"/>
      <c r="W24" s="581"/>
      <c r="X24" s="581"/>
      <c r="Y24" s="580">
        <v>165</v>
      </c>
      <c r="Z24" s="580"/>
      <c r="AA24" s="580"/>
      <c r="AB24" s="580"/>
      <c r="AC24" s="581"/>
      <c r="AD24" s="580"/>
      <c r="AE24" s="581"/>
      <c r="AF24" s="581"/>
      <c r="AG24" s="581"/>
      <c r="AH24" s="581"/>
      <c r="AI24" s="581"/>
      <c r="AJ24" s="580"/>
      <c r="AK24" s="580"/>
      <c r="AL24" s="580"/>
      <c r="AM24" s="580"/>
      <c r="AN24" s="580"/>
      <c r="AO24" s="580"/>
      <c r="AP24" s="580"/>
      <c r="AQ24" s="582"/>
      <c r="AR24" s="559"/>
    </row>
    <row r="25" spans="1:44" x14ac:dyDescent="0.35">
      <c r="A25" s="552">
        <v>19</v>
      </c>
      <c r="B25" s="550">
        <v>0</v>
      </c>
      <c r="C25" s="583">
        <v>45462</v>
      </c>
      <c r="D25" s="584">
        <v>2658</v>
      </c>
      <c r="E25" s="35" t="s">
        <v>791</v>
      </c>
      <c r="F25" s="35" t="s">
        <v>837</v>
      </c>
      <c r="G25" s="550" t="s">
        <v>838</v>
      </c>
      <c r="H25" s="563">
        <v>933.82</v>
      </c>
      <c r="I25" s="1228"/>
      <c r="J25" s="579">
        <f t="shared" si="0"/>
        <v>933.82</v>
      </c>
      <c r="K25" s="580">
        <v>0</v>
      </c>
      <c r="L25" s="580"/>
      <c r="M25" s="580">
        <v>933.82</v>
      </c>
      <c r="N25" s="580"/>
      <c r="O25" s="580"/>
      <c r="P25" s="580"/>
      <c r="Q25" s="580"/>
      <c r="R25" s="580"/>
      <c r="S25" s="580"/>
      <c r="T25" s="580"/>
      <c r="U25" s="580"/>
      <c r="V25" s="563"/>
      <c r="W25" s="581"/>
      <c r="X25" s="581"/>
      <c r="Y25" s="580"/>
      <c r="Z25" s="580"/>
      <c r="AA25" s="580"/>
      <c r="AB25" s="580"/>
      <c r="AC25" s="581"/>
      <c r="AD25" s="580"/>
      <c r="AE25" s="581"/>
      <c r="AF25" s="581"/>
      <c r="AG25" s="581"/>
      <c r="AH25" s="581"/>
      <c r="AI25" s="581"/>
      <c r="AJ25" s="580"/>
      <c r="AK25" s="580"/>
      <c r="AL25" s="580"/>
      <c r="AM25" s="580"/>
      <c r="AN25" s="580"/>
      <c r="AO25" s="580"/>
      <c r="AP25" s="580"/>
      <c r="AQ25" s="582"/>
      <c r="AR25" s="559"/>
    </row>
    <row r="26" spans="1:44" x14ac:dyDescent="0.35">
      <c r="A26">
        <v>20</v>
      </c>
      <c r="B26" s="550">
        <v>0</v>
      </c>
      <c r="C26" s="583">
        <v>45462</v>
      </c>
      <c r="D26" s="584">
        <v>2658</v>
      </c>
      <c r="E26" s="35" t="s">
        <v>791</v>
      </c>
      <c r="F26" s="35" t="s">
        <v>839</v>
      </c>
      <c r="G26" s="550" t="s">
        <v>838</v>
      </c>
      <c r="H26" s="563">
        <v>57.2</v>
      </c>
      <c r="I26" s="1228"/>
      <c r="J26" s="579">
        <f t="shared" si="0"/>
        <v>57.2</v>
      </c>
      <c r="K26" s="580">
        <v>0</v>
      </c>
      <c r="L26" s="580"/>
      <c r="M26" s="580"/>
      <c r="N26" s="580"/>
      <c r="O26" s="580"/>
      <c r="P26" s="580"/>
      <c r="Q26" s="580"/>
      <c r="R26" s="580"/>
      <c r="S26" s="580"/>
      <c r="T26" s="580">
        <v>26</v>
      </c>
      <c r="U26" s="580"/>
      <c r="V26" s="563">
        <v>31.2</v>
      </c>
      <c r="W26" s="581"/>
      <c r="X26" s="581"/>
      <c r="Y26" s="580"/>
      <c r="Z26" s="580"/>
      <c r="AA26" s="580"/>
      <c r="AB26" s="580"/>
      <c r="AC26" s="581"/>
      <c r="AD26" s="580"/>
      <c r="AE26" s="581"/>
      <c r="AF26" s="581"/>
      <c r="AG26" s="581"/>
      <c r="AH26" s="581"/>
      <c r="AI26" s="581"/>
      <c r="AJ26" s="580"/>
      <c r="AK26" s="580"/>
      <c r="AL26" s="580"/>
      <c r="AM26" s="580"/>
      <c r="AN26" s="580"/>
      <c r="AO26" s="580"/>
      <c r="AP26" s="580"/>
      <c r="AQ26" s="582"/>
      <c r="AR26" s="559"/>
    </row>
    <row r="27" spans="1:44" x14ac:dyDescent="0.35">
      <c r="A27" s="552">
        <v>21</v>
      </c>
      <c r="B27" s="550" t="s">
        <v>843</v>
      </c>
      <c r="C27" s="583">
        <v>45462</v>
      </c>
      <c r="D27" s="584">
        <v>2658</v>
      </c>
      <c r="E27" s="35" t="s">
        <v>791</v>
      </c>
      <c r="F27" s="35" t="s">
        <v>840</v>
      </c>
      <c r="G27" s="550" t="s">
        <v>838</v>
      </c>
      <c r="H27" s="563">
        <v>114.6</v>
      </c>
      <c r="I27" s="1228"/>
      <c r="J27" s="579">
        <f t="shared" si="0"/>
        <v>114.6</v>
      </c>
      <c r="K27" s="580">
        <v>0</v>
      </c>
      <c r="L27" s="580"/>
      <c r="M27" s="580"/>
      <c r="N27" s="580"/>
      <c r="O27" s="580"/>
      <c r="P27" s="580"/>
      <c r="Q27" s="580"/>
      <c r="R27" s="580"/>
      <c r="S27" s="580"/>
      <c r="T27" s="580"/>
      <c r="U27" s="580"/>
      <c r="V27" s="563"/>
      <c r="W27" s="581"/>
      <c r="X27" s="581"/>
      <c r="Y27" s="580"/>
      <c r="Z27" s="580"/>
      <c r="AA27" s="580"/>
      <c r="AB27" s="580"/>
      <c r="AC27" s="581"/>
      <c r="AD27" s="580"/>
      <c r="AE27" s="581"/>
      <c r="AF27" s="581"/>
      <c r="AG27" s="581"/>
      <c r="AH27" s="581"/>
      <c r="AI27" s="581"/>
      <c r="AJ27" s="580"/>
      <c r="AK27" s="580"/>
      <c r="AL27" s="580">
        <v>114.6</v>
      </c>
      <c r="AM27" s="580"/>
      <c r="AN27" s="580"/>
      <c r="AO27" s="580"/>
      <c r="AP27" s="580"/>
      <c r="AQ27" s="582"/>
      <c r="AR27" s="559"/>
    </row>
    <row r="28" spans="1:44" x14ac:dyDescent="0.35">
      <c r="A28" s="552">
        <v>22</v>
      </c>
      <c r="B28" s="550">
        <v>220430231</v>
      </c>
      <c r="C28" s="583">
        <v>45462</v>
      </c>
      <c r="D28" s="584">
        <v>2658</v>
      </c>
      <c r="E28" s="35" t="s">
        <v>791</v>
      </c>
      <c r="F28" s="35" t="s">
        <v>841</v>
      </c>
      <c r="G28" s="550" t="s">
        <v>838</v>
      </c>
      <c r="H28" s="563">
        <v>8.5</v>
      </c>
      <c r="I28" s="1228"/>
      <c r="J28" s="579">
        <f t="shared" si="0"/>
        <v>8.5</v>
      </c>
      <c r="K28" s="580">
        <v>1.42</v>
      </c>
      <c r="L28" s="580"/>
      <c r="M28" s="580"/>
      <c r="N28" s="580"/>
      <c r="O28" s="580"/>
      <c r="P28" s="580"/>
      <c r="Q28" s="580"/>
      <c r="R28" s="580"/>
      <c r="S28" s="580"/>
      <c r="T28" s="580"/>
      <c r="U28" s="580"/>
      <c r="V28" s="563">
        <v>7.08</v>
      </c>
      <c r="W28" s="581"/>
      <c r="X28" s="581"/>
      <c r="Y28" s="580"/>
      <c r="Z28" s="580"/>
      <c r="AA28" s="580"/>
      <c r="AB28" s="580"/>
      <c r="AC28" s="581"/>
      <c r="AD28" s="580"/>
      <c r="AE28" s="581"/>
      <c r="AF28" s="581"/>
      <c r="AG28" s="581"/>
      <c r="AH28" s="581"/>
      <c r="AI28" s="581"/>
      <c r="AJ28" s="580"/>
      <c r="AK28" s="580"/>
      <c r="AL28" s="580"/>
      <c r="AM28" s="580"/>
      <c r="AN28" s="580"/>
      <c r="AO28" s="580"/>
      <c r="AP28" s="580"/>
      <c r="AQ28" s="582"/>
      <c r="AR28" s="559"/>
    </row>
    <row r="29" spans="1:44" x14ac:dyDescent="0.35">
      <c r="A29" s="552">
        <v>23</v>
      </c>
      <c r="B29" s="550">
        <v>888115002</v>
      </c>
      <c r="C29" s="583">
        <v>45462</v>
      </c>
      <c r="D29" s="584">
        <v>2658</v>
      </c>
      <c r="E29" s="35" t="s">
        <v>791</v>
      </c>
      <c r="F29" s="35" t="s">
        <v>842</v>
      </c>
      <c r="G29" s="550" t="s">
        <v>838</v>
      </c>
      <c r="H29" s="563">
        <v>123.9</v>
      </c>
      <c r="I29" s="1228"/>
      <c r="J29" s="579">
        <f t="shared" si="0"/>
        <v>123.9</v>
      </c>
      <c r="K29" s="580">
        <v>20.65</v>
      </c>
      <c r="L29" s="580"/>
      <c r="M29" s="580"/>
      <c r="N29" s="580"/>
      <c r="O29" s="580"/>
      <c r="P29" s="580"/>
      <c r="Q29" s="580"/>
      <c r="R29" s="580"/>
      <c r="S29" s="580"/>
      <c r="T29" s="580"/>
      <c r="U29" s="580"/>
      <c r="V29" s="563"/>
      <c r="W29" s="581"/>
      <c r="X29" s="581"/>
      <c r="Y29" s="580"/>
      <c r="Z29" s="580"/>
      <c r="AA29" s="580"/>
      <c r="AB29" s="580"/>
      <c r="AC29" s="581"/>
      <c r="AD29" s="580"/>
      <c r="AE29" s="581"/>
      <c r="AF29" s="581"/>
      <c r="AG29" s="581"/>
      <c r="AH29" s="581"/>
      <c r="AI29" s="581"/>
      <c r="AJ29" s="580"/>
      <c r="AK29" s="580"/>
      <c r="AL29" s="580"/>
      <c r="AM29" s="580">
        <v>103.25</v>
      </c>
      <c r="AN29" s="580"/>
      <c r="AO29" s="580"/>
      <c r="AP29" s="580"/>
      <c r="AQ29" s="582"/>
      <c r="AR29" s="559"/>
    </row>
    <row r="30" spans="1:44" x14ac:dyDescent="0.35">
      <c r="A30">
        <v>24</v>
      </c>
      <c r="B30" s="550">
        <v>232555575</v>
      </c>
      <c r="C30" s="583">
        <v>45462</v>
      </c>
      <c r="D30" s="584">
        <v>2658</v>
      </c>
      <c r="E30" s="35" t="s">
        <v>791</v>
      </c>
      <c r="F30" s="35" t="s">
        <v>856</v>
      </c>
      <c r="G30" s="550" t="s">
        <v>838</v>
      </c>
      <c r="H30" s="563">
        <v>64.790000000000006</v>
      </c>
      <c r="I30" s="1228"/>
      <c r="J30" s="579">
        <f t="shared" si="0"/>
        <v>64.790000000000006</v>
      </c>
      <c r="K30" s="580">
        <v>10.8</v>
      </c>
      <c r="L30" s="580"/>
      <c r="M30" s="580"/>
      <c r="N30" s="580"/>
      <c r="O30" s="580"/>
      <c r="P30" s="580"/>
      <c r="Q30" s="580"/>
      <c r="R30" s="580"/>
      <c r="S30" s="580"/>
      <c r="T30" s="580"/>
      <c r="U30" s="580"/>
      <c r="V30" s="563"/>
      <c r="W30" s="581"/>
      <c r="X30" s="581"/>
      <c r="Y30" s="580"/>
      <c r="Z30" s="580"/>
      <c r="AA30" s="580"/>
      <c r="AB30" s="580"/>
      <c r="AC30" s="581"/>
      <c r="AD30" s="580">
        <v>53.99</v>
      </c>
      <c r="AE30" s="581"/>
      <c r="AF30" s="581"/>
      <c r="AG30" s="581"/>
      <c r="AH30" s="581"/>
      <c r="AI30" s="581"/>
      <c r="AJ30" s="580"/>
      <c r="AK30" s="580"/>
      <c r="AL30" s="580"/>
      <c r="AM30" s="580"/>
      <c r="AN30" s="580"/>
      <c r="AO30" s="580"/>
      <c r="AP30" s="580"/>
      <c r="AQ30" s="582"/>
      <c r="AR30" s="559"/>
    </row>
    <row r="31" spans="1:44" x14ac:dyDescent="0.35">
      <c r="A31">
        <v>25</v>
      </c>
      <c r="B31" s="550">
        <v>811160289</v>
      </c>
      <c r="C31" s="583">
        <v>45462</v>
      </c>
      <c r="D31" s="584">
        <v>2658</v>
      </c>
      <c r="E31" s="35" t="s">
        <v>791</v>
      </c>
      <c r="F31" s="35" t="s">
        <v>860</v>
      </c>
      <c r="G31" s="550" t="s">
        <v>838</v>
      </c>
      <c r="H31" s="563">
        <v>5</v>
      </c>
      <c r="I31" s="1230">
        <f>SUM(H25:H31)</f>
        <v>1307.8100000000002</v>
      </c>
      <c r="J31" s="579">
        <f t="shared" si="0"/>
        <v>5</v>
      </c>
      <c r="K31" s="580">
        <v>0.83</v>
      </c>
      <c r="L31" s="580"/>
      <c r="M31" s="580"/>
      <c r="N31" s="580"/>
      <c r="O31" s="580"/>
      <c r="P31" s="580"/>
      <c r="Q31" s="580"/>
      <c r="R31" s="580"/>
      <c r="S31" s="580"/>
      <c r="T31" s="580"/>
      <c r="U31" s="580">
        <v>4.17</v>
      </c>
      <c r="V31" s="563"/>
      <c r="W31" s="581"/>
      <c r="X31" s="581"/>
      <c r="Y31" s="580"/>
      <c r="Z31" s="580"/>
      <c r="AA31" s="580"/>
      <c r="AB31" s="580"/>
      <c r="AC31" s="581"/>
      <c r="AD31" s="580"/>
      <c r="AE31" s="581"/>
      <c r="AF31" s="581"/>
      <c r="AG31" s="581"/>
      <c r="AH31" s="581"/>
      <c r="AI31" s="581"/>
      <c r="AJ31" s="580"/>
      <c r="AK31" s="580"/>
      <c r="AL31" s="580"/>
      <c r="AM31" s="580"/>
      <c r="AN31" s="580"/>
      <c r="AO31" s="580"/>
      <c r="AP31" s="580"/>
      <c r="AQ31" s="582"/>
      <c r="AR31" s="559"/>
    </row>
    <row r="32" spans="1:44" x14ac:dyDescent="0.35">
      <c r="A32">
        <v>26</v>
      </c>
      <c r="B32" s="550">
        <v>0</v>
      </c>
      <c r="C32" s="583">
        <v>45462</v>
      </c>
      <c r="D32" s="584">
        <v>2659</v>
      </c>
      <c r="E32" s="35" t="s">
        <v>799</v>
      </c>
      <c r="F32" s="35" t="s">
        <v>844</v>
      </c>
      <c r="G32" s="550" t="s">
        <v>845</v>
      </c>
      <c r="H32" s="563">
        <v>349.54</v>
      </c>
      <c r="I32" s="1230">
        <v>349.54</v>
      </c>
      <c r="J32" s="579">
        <f t="shared" si="0"/>
        <v>349.53999999999996</v>
      </c>
      <c r="K32" s="580">
        <v>0</v>
      </c>
      <c r="L32" s="580"/>
      <c r="M32" s="580">
        <v>69.16</v>
      </c>
      <c r="N32" s="580"/>
      <c r="O32" s="580">
        <v>280.38</v>
      </c>
      <c r="P32" s="580"/>
      <c r="Q32" s="580"/>
      <c r="R32" s="580"/>
      <c r="S32" s="580"/>
      <c r="T32" s="580"/>
      <c r="U32" s="580"/>
      <c r="V32" s="563"/>
      <c r="W32" s="581"/>
      <c r="X32" s="581"/>
      <c r="Y32" s="580"/>
      <c r="Z32" s="580"/>
      <c r="AA32" s="580"/>
      <c r="AB32" s="580"/>
      <c r="AC32" s="581"/>
      <c r="AD32" s="580"/>
      <c r="AE32" s="581"/>
      <c r="AF32" s="581"/>
      <c r="AG32" s="581"/>
      <c r="AH32" s="581"/>
      <c r="AI32" s="581"/>
      <c r="AJ32" s="580"/>
      <c r="AK32" s="580"/>
      <c r="AL32" s="580"/>
      <c r="AM32" s="580"/>
      <c r="AN32" s="580"/>
      <c r="AO32" s="580"/>
      <c r="AP32" s="580"/>
      <c r="AQ32" s="582"/>
      <c r="AR32" s="559"/>
    </row>
    <row r="33" spans="1:44" x14ac:dyDescent="0.35">
      <c r="A33" s="552">
        <v>27</v>
      </c>
      <c r="B33" s="550">
        <v>0</v>
      </c>
      <c r="C33" s="583">
        <v>45462</v>
      </c>
      <c r="D33" s="584">
        <v>2660</v>
      </c>
      <c r="E33" s="35" t="s">
        <v>796</v>
      </c>
      <c r="F33" s="35" t="s">
        <v>846</v>
      </c>
      <c r="G33" s="550" t="s">
        <v>847</v>
      </c>
      <c r="H33" s="563">
        <v>323.24</v>
      </c>
      <c r="I33" s="1230">
        <v>323.24</v>
      </c>
      <c r="J33" s="579">
        <f t="shared" si="0"/>
        <v>323.24</v>
      </c>
      <c r="K33" s="580">
        <v>0</v>
      </c>
      <c r="L33" s="580"/>
      <c r="M33" s="580">
        <v>254.34</v>
      </c>
      <c r="N33" s="580">
        <v>68.900000000000006</v>
      </c>
      <c r="O33" s="580"/>
      <c r="P33" s="580"/>
      <c r="Q33" s="580"/>
      <c r="R33" s="580"/>
      <c r="S33" s="580"/>
      <c r="T33" s="580"/>
      <c r="U33" s="580"/>
      <c r="V33" s="563"/>
      <c r="W33" s="581"/>
      <c r="X33" s="581"/>
      <c r="Y33" s="580"/>
      <c r="Z33" s="580"/>
      <c r="AA33" s="580"/>
      <c r="AB33" s="580"/>
      <c r="AC33" s="581"/>
      <c r="AD33" s="580"/>
      <c r="AE33" s="581"/>
      <c r="AF33" s="581"/>
      <c r="AG33" s="581"/>
      <c r="AH33" s="581"/>
      <c r="AI33" s="581"/>
      <c r="AJ33" s="580"/>
      <c r="AK33" s="580"/>
      <c r="AL33" s="580"/>
      <c r="AM33" s="580"/>
      <c r="AN33" s="580"/>
      <c r="AO33" s="580"/>
      <c r="AP33" s="580"/>
      <c r="AQ33" s="582"/>
      <c r="AR33" s="559"/>
    </row>
    <row r="34" spans="1:44" x14ac:dyDescent="0.35">
      <c r="A34" s="552">
        <v>28</v>
      </c>
      <c r="B34" s="550">
        <v>220430231</v>
      </c>
      <c r="C34" s="583">
        <v>45462</v>
      </c>
      <c r="D34" s="584">
        <v>2661</v>
      </c>
      <c r="E34" s="35" t="s">
        <v>848</v>
      </c>
      <c r="F34" s="35" t="s">
        <v>849</v>
      </c>
      <c r="G34" s="550" t="s">
        <v>850</v>
      </c>
      <c r="H34" s="563">
        <v>143.44999999999999</v>
      </c>
      <c r="I34" s="1230">
        <v>143.44999999999999</v>
      </c>
      <c r="J34" s="579">
        <f t="shared" si="0"/>
        <v>143.44999999999999</v>
      </c>
      <c r="K34" s="580">
        <v>16.98</v>
      </c>
      <c r="L34" s="580"/>
      <c r="M34" s="580"/>
      <c r="N34" s="580"/>
      <c r="O34" s="580"/>
      <c r="P34" s="580"/>
      <c r="Q34" s="580"/>
      <c r="R34" s="580"/>
      <c r="S34" s="580"/>
      <c r="T34" s="580"/>
      <c r="U34" s="580"/>
      <c r="V34" s="563"/>
      <c r="W34" s="581"/>
      <c r="X34" s="581"/>
      <c r="Y34" s="580"/>
      <c r="Z34" s="580"/>
      <c r="AA34" s="580"/>
      <c r="AB34" s="580"/>
      <c r="AC34" s="581"/>
      <c r="AD34" s="580"/>
      <c r="AE34" s="581"/>
      <c r="AF34" s="581"/>
      <c r="AG34" s="581"/>
      <c r="AH34" s="581"/>
      <c r="AI34" s="581"/>
      <c r="AJ34" s="580"/>
      <c r="AK34" s="580"/>
      <c r="AL34" s="580">
        <v>126.47</v>
      </c>
      <c r="AM34" s="580"/>
      <c r="AN34" s="580"/>
      <c r="AO34" s="580"/>
      <c r="AP34" s="580"/>
      <c r="AQ34" s="582"/>
      <c r="AR34" s="559"/>
    </row>
    <row r="35" spans="1:44" x14ac:dyDescent="0.35">
      <c r="A35" s="552">
        <v>29</v>
      </c>
      <c r="B35" s="550">
        <v>0</v>
      </c>
      <c r="C35" s="583">
        <v>45462</v>
      </c>
      <c r="D35" s="584">
        <v>2662</v>
      </c>
      <c r="E35" s="35" t="s">
        <v>851</v>
      </c>
      <c r="F35" s="35" t="s">
        <v>852</v>
      </c>
      <c r="G35" s="550" t="s">
        <v>853</v>
      </c>
      <c r="H35" s="563">
        <v>60</v>
      </c>
      <c r="I35" s="1230">
        <v>60</v>
      </c>
      <c r="J35" s="579">
        <f t="shared" si="0"/>
        <v>60</v>
      </c>
      <c r="K35" s="580">
        <v>0</v>
      </c>
      <c r="L35" s="580"/>
      <c r="M35" s="580"/>
      <c r="N35" s="580"/>
      <c r="O35" s="580"/>
      <c r="P35" s="580"/>
      <c r="Q35" s="580"/>
      <c r="R35" s="580"/>
      <c r="S35" s="580"/>
      <c r="T35" s="580"/>
      <c r="U35" s="580">
        <v>60</v>
      </c>
      <c r="V35" s="563"/>
      <c r="W35" s="581"/>
      <c r="X35" s="581"/>
      <c r="Y35" s="580"/>
      <c r="Z35" s="580"/>
      <c r="AA35" s="580"/>
      <c r="AB35" s="580"/>
      <c r="AC35" s="581"/>
      <c r="AD35" s="580"/>
      <c r="AE35" s="581"/>
      <c r="AF35" s="581"/>
      <c r="AG35" s="581"/>
      <c r="AH35" s="581"/>
      <c r="AI35" s="581"/>
      <c r="AJ35" s="580"/>
      <c r="AK35" s="580"/>
      <c r="AL35" s="580"/>
      <c r="AM35" s="580"/>
      <c r="AN35" s="580"/>
      <c r="AO35" s="580"/>
      <c r="AP35" s="580"/>
      <c r="AQ35" s="582"/>
      <c r="AR35" s="559"/>
    </row>
    <row r="36" spans="1:44" x14ac:dyDescent="0.35">
      <c r="A36">
        <v>30</v>
      </c>
      <c r="B36" s="550">
        <v>358672751</v>
      </c>
      <c r="C36" s="583">
        <v>45462</v>
      </c>
      <c r="D36" s="584" t="s">
        <v>810</v>
      </c>
      <c r="E36" s="35" t="s">
        <v>807</v>
      </c>
      <c r="F36" s="35" t="s">
        <v>854</v>
      </c>
      <c r="G36" s="550" t="s">
        <v>855</v>
      </c>
      <c r="H36" s="563">
        <v>22.64</v>
      </c>
      <c r="I36" s="1230">
        <v>22.64</v>
      </c>
      <c r="J36" s="579">
        <f t="shared" si="0"/>
        <v>22.64</v>
      </c>
      <c r="K36" s="580">
        <v>0</v>
      </c>
      <c r="L36" s="580"/>
      <c r="M36" s="580"/>
      <c r="N36" s="580"/>
      <c r="O36" s="580"/>
      <c r="P36" s="580"/>
      <c r="Q36" s="580"/>
      <c r="R36" s="580"/>
      <c r="S36" s="580"/>
      <c r="T36" s="580"/>
      <c r="U36" s="580"/>
      <c r="V36" s="563"/>
      <c r="W36" s="581"/>
      <c r="X36" s="581"/>
      <c r="Y36" s="580"/>
      <c r="Z36" s="580"/>
      <c r="AA36" s="580"/>
      <c r="AB36" s="580"/>
      <c r="AC36" s="581"/>
      <c r="AD36" s="580"/>
      <c r="AE36" s="581"/>
      <c r="AF36" s="581"/>
      <c r="AG36" s="581">
        <v>22.64</v>
      </c>
      <c r="AH36" s="581"/>
      <c r="AI36" s="581"/>
      <c r="AJ36" s="580"/>
      <c r="AK36" s="580"/>
      <c r="AL36" s="580"/>
      <c r="AM36" s="580"/>
      <c r="AN36" s="580"/>
      <c r="AO36" s="580"/>
      <c r="AP36" s="580"/>
      <c r="AQ36" s="582"/>
      <c r="AR36" s="559"/>
    </row>
    <row r="37" spans="1:44" x14ac:dyDescent="0.35">
      <c r="A37" s="552">
        <v>31</v>
      </c>
      <c r="B37" s="550">
        <v>0</v>
      </c>
      <c r="C37" s="583">
        <v>45462</v>
      </c>
      <c r="D37" s="584">
        <v>2663</v>
      </c>
      <c r="E37" s="35" t="s">
        <v>37</v>
      </c>
      <c r="F37" s="35" t="s">
        <v>857</v>
      </c>
      <c r="G37" s="550" t="s">
        <v>858</v>
      </c>
      <c r="H37" s="563">
        <v>28</v>
      </c>
      <c r="I37" s="1228"/>
      <c r="J37" s="579">
        <f t="shared" si="0"/>
        <v>28</v>
      </c>
      <c r="K37" s="580">
        <v>0</v>
      </c>
      <c r="L37" s="580"/>
      <c r="M37" s="580"/>
      <c r="N37" s="580"/>
      <c r="O37" s="580"/>
      <c r="P37" s="580"/>
      <c r="Q37" s="580"/>
      <c r="R37" s="580"/>
      <c r="S37" s="580"/>
      <c r="T37" s="580"/>
      <c r="U37" s="580"/>
      <c r="V37" s="563"/>
      <c r="W37" s="581"/>
      <c r="X37" s="581">
        <v>28</v>
      </c>
      <c r="Y37" s="580"/>
      <c r="Z37" s="580"/>
      <c r="AA37" s="580"/>
      <c r="AB37" s="580"/>
      <c r="AC37" s="581"/>
      <c r="AD37" s="580"/>
      <c r="AE37" s="581"/>
      <c r="AF37" s="581"/>
      <c r="AG37" s="581"/>
      <c r="AH37" s="581"/>
      <c r="AI37" s="581"/>
      <c r="AJ37" s="580"/>
      <c r="AK37" s="580"/>
      <c r="AL37" s="580"/>
      <c r="AM37" s="580"/>
      <c r="AN37" s="580"/>
      <c r="AO37" s="580"/>
      <c r="AP37" s="580"/>
      <c r="AQ37" s="582"/>
      <c r="AR37" s="559"/>
    </row>
    <row r="38" spans="1:44" x14ac:dyDescent="0.35">
      <c r="A38" s="552">
        <v>32</v>
      </c>
      <c r="B38" s="550">
        <v>0</v>
      </c>
      <c r="C38" s="583">
        <v>45462</v>
      </c>
      <c r="D38" s="584">
        <v>2663</v>
      </c>
      <c r="E38" s="35" t="s">
        <v>37</v>
      </c>
      <c r="F38" s="35" t="s">
        <v>859</v>
      </c>
      <c r="G38" s="550" t="s">
        <v>858</v>
      </c>
      <c r="H38" s="563">
        <v>35</v>
      </c>
      <c r="I38" s="1230">
        <f>SUM(H37:H38)</f>
        <v>63</v>
      </c>
      <c r="J38" s="579">
        <f t="shared" si="0"/>
        <v>35</v>
      </c>
      <c r="K38" s="580">
        <v>0</v>
      </c>
      <c r="L38" s="580"/>
      <c r="M38" s="580"/>
      <c r="N38" s="580"/>
      <c r="O38" s="580"/>
      <c r="P38" s="580"/>
      <c r="Q38" s="580"/>
      <c r="R38" s="580"/>
      <c r="S38" s="580"/>
      <c r="T38" s="580"/>
      <c r="U38" s="580"/>
      <c r="V38" s="563"/>
      <c r="W38" s="581"/>
      <c r="X38" s="581">
        <v>35</v>
      </c>
      <c r="Y38" s="580"/>
      <c r="Z38" s="580"/>
      <c r="AA38" s="580"/>
      <c r="AB38" s="580"/>
      <c r="AC38" s="581"/>
      <c r="AD38" s="580"/>
      <c r="AE38" s="581"/>
      <c r="AF38" s="581"/>
      <c r="AG38" s="581"/>
      <c r="AH38" s="581"/>
      <c r="AI38" s="581"/>
      <c r="AJ38" s="580"/>
      <c r="AK38" s="580"/>
      <c r="AL38" s="580"/>
      <c r="AM38" s="580"/>
      <c r="AN38" s="580"/>
      <c r="AO38" s="580"/>
      <c r="AP38" s="580"/>
      <c r="AQ38" s="582"/>
      <c r="AR38" s="559"/>
    </row>
    <row r="39" spans="1:44" x14ac:dyDescent="0.35">
      <c r="A39" s="552">
        <v>33</v>
      </c>
      <c r="B39" s="550">
        <v>0</v>
      </c>
      <c r="C39" s="583">
        <v>45462</v>
      </c>
      <c r="D39" s="584">
        <v>2664</v>
      </c>
      <c r="E39" s="35" t="s">
        <v>788</v>
      </c>
      <c r="F39" s="35" t="s">
        <v>873</v>
      </c>
      <c r="G39" s="550" t="s">
        <v>874</v>
      </c>
      <c r="H39" s="563">
        <v>52.97</v>
      </c>
      <c r="I39" s="1230">
        <v>52.97</v>
      </c>
      <c r="J39" s="579">
        <f t="shared" ref="J39:J70" si="1">SUM(K39:AQ39)</f>
        <v>52.97</v>
      </c>
      <c r="K39" s="580">
        <v>0</v>
      </c>
      <c r="L39" s="580"/>
      <c r="M39" s="580"/>
      <c r="N39" s="580"/>
      <c r="O39" s="580"/>
      <c r="P39" s="580"/>
      <c r="Q39" s="580"/>
      <c r="R39" s="580"/>
      <c r="S39" s="580"/>
      <c r="T39" s="580"/>
      <c r="U39" s="580"/>
      <c r="V39" s="563"/>
      <c r="W39" s="581"/>
      <c r="X39" s="581"/>
      <c r="Y39" s="580"/>
      <c r="Z39" s="580"/>
      <c r="AA39" s="580"/>
      <c r="AB39" s="580"/>
      <c r="AC39" s="581"/>
      <c r="AD39" s="580"/>
      <c r="AE39" s="581"/>
      <c r="AF39" s="581"/>
      <c r="AG39" s="581"/>
      <c r="AH39" s="581"/>
      <c r="AI39" s="581"/>
      <c r="AJ39" s="580"/>
      <c r="AK39" s="580"/>
      <c r="AL39" s="580">
        <v>52.97</v>
      </c>
      <c r="AM39" s="580"/>
      <c r="AN39" s="580"/>
      <c r="AO39" s="580"/>
      <c r="AP39" s="580"/>
      <c r="AQ39" s="582"/>
      <c r="AR39" s="559"/>
    </row>
    <row r="40" spans="1:44" x14ac:dyDescent="0.35">
      <c r="A40">
        <v>34</v>
      </c>
      <c r="B40" s="550">
        <v>0</v>
      </c>
      <c r="C40" s="583">
        <v>45462</v>
      </c>
      <c r="D40" s="584">
        <v>2665</v>
      </c>
      <c r="E40" s="35" t="s">
        <v>875</v>
      </c>
      <c r="F40" s="35" t="s">
        <v>876</v>
      </c>
      <c r="G40" s="550" t="s">
        <v>877</v>
      </c>
      <c r="H40" s="563">
        <v>96</v>
      </c>
      <c r="I40" s="1230">
        <v>96</v>
      </c>
      <c r="J40" s="579">
        <f t="shared" si="1"/>
        <v>96</v>
      </c>
      <c r="K40" s="580">
        <v>0</v>
      </c>
      <c r="L40" s="580"/>
      <c r="M40" s="580"/>
      <c r="N40" s="580"/>
      <c r="O40" s="580"/>
      <c r="P40" s="580"/>
      <c r="Q40" s="580"/>
      <c r="R40" s="580"/>
      <c r="S40" s="580"/>
      <c r="T40" s="580"/>
      <c r="U40" s="580"/>
      <c r="V40" s="563"/>
      <c r="W40" s="581"/>
      <c r="X40" s="581"/>
      <c r="Y40" s="580"/>
      <c r="Z40" s="580"/>
      <c r="AA40" s="580"/>
      <c r="AB40" s="580"/>
      <c r="AC40" s="581"/>
      <c r="AD40" s="580"/>
      <c r="AE40" s="581"/>
      <c r="AF40" s="581">
        <v>96</v>
      </c>
      <c r="AG40" s="581"/>
      <c r="AH40" s="581"/>
      <c r="AI40" s="581"/>
      <c r="AJ40" s="580"/>
      <c r="AK40" s="580"/>
      <c r="AL40" s="580"/>
      <c r="AM40" s="580"/>
      <c r="AN40" s="580"/>
      <c r="AO40" s="580"/>
      <c r="AP40" s="580"/>
      <c r="AQ40" s="582"/>
      <c r="AR40" s="559"/>
    </row>
    <row r="41" spans="1:44" x14ac:dyDescent="0.35">
      <c r="A41">
        <v>35</v>
      </c>
      <c r="B41" s="550">
        <v>0</v>
      </c>
      <c r="C41" s="583">
        <v>45483</v>
      </c>
      <c r="D41" s="584">
        <v>2666</v>
      </c>
      <c r="E41" s="35" t="s">
        <v>37</v>
      </c>
      <c r="F41" s="35" t="s">
        <v>879</v>
      </c>
      <c r="G41" s="550" t="s">
        <v>878</v>
      </c>
      <c r="H41" s="563">
        <v>0</v>
      </c>
      <c r="I41" s="1230">
        <v>0</v>
      </c>
      <c r="J41" s="579">
        <f t="shared" si="1"/>
        <v>0</v>
      </c>
      <c r="K41" s="580">
        <v>0</v>
      </c>
      <c r="L41" s="580"/>
      <c r="M41" s="580"/>
      <c r="N41" s="580"/>
      <c r="O41" s="580"/>
      <c r="P41" s="580"/>
      <c r="Q41" s="580"/>
      <c r="R41" s="580"/>
      <c r="S41" s="580"/>
      <c r="T41" s="580"/>
      <c r="U41" s="580"/>
      <c r="V41" s="563"/>
      <c r="W41" s="581"/>
      <c r="X41" s="581"/>
      <c r="Y41" s="580"/>
      <c r="Z41" s="580"/>
      <c r="AA41" s="580"/>
      <c r="AB41" s="580"/>
      <c r="AC41" s="581"/>
      <c r="AD41" s="580"/>
      <c r="AE41" s="581"/>
      <c r="AF41" s="581"/>
      <c r="AG41" s="581"/>
      <c r="AH41" s="581"/>
      <c r="AI41" s="581"/>
      <c r="AJ41" s="580"/>
      <c r="AK41" s="580"/>
      <c r="AL41" s="580"/>
      <c r="AM41" s="580"/>
      <c r="AN41" s="580"/>
      <c r="AO41" s="580"/>
      <c r="AP41" s="580"/>
      <c r="AQ41" s="582"/>
      <c r="AR41" s="559"/>
    </row>
    <row r="42" spans="1:44" x14ac:dyDescent="0.35">
      <c r="A42">
        <v>36</v>
      </c>
      <c r="C42" s="583">
        <v>45470</v>
      </c>
      <c r="D42" s="584" t="s">
        <v>828</v>
      </c>
      <c r="E42" s="35" t="s">
        <v>889</v>
      </c>
      <c r="F42" s="35" t="s">
        <v>890</v>
      </c>
      <c r="G42" s="550" t="s">
        <v>891</v>
      </c>
      <c r="H42" s="563">
        <v>3539</v>
      </c>
      <c r="I42" s="1230">
        <v>3539</v>
      </c>
      <c r="J42" s="579">
        <f t="shared" si="1"/>
        <v>3539</v>
      </c>
      <c r="K42" s="580">
        <v>0</v>
      </c>
      <c r="L42" s="580"/>
      <c r="M42" s="580"/>
      <c r="N42" s="580"/>
      <c r="O42" s="580"/>
      <c r="P42" s="580"/>
      <c r="Q42" s="580"/>
      <c r="R42" s="580"/>
      <c r="S42" s="580"/>
      <c r="T42" s="580"/>
      <c r="U42" s="580"/>
      <c r="V42" s="563"/>
      <c r="W42" s="581"/>
      <c r="X42" s="581"/>
      <c r="Y42" s="580"/>
      <c r="Z42" s="580">
        <v>3539</v>
      </c>
      <c r="AA42" s="580"/>
      <c r="AB42" s="580"/>
      <c r="AC42" s="581"/>
      <c r="AD42" s="580"/>
      <c r="AE42" s="581"/>
      <c r="AF42" s="581"/>
      <c r="AG42" s="581"/>
      <c r="AH42" s="581"/>
      <c r="AI42" s="581"/>
      <c r="AJ42" s="580"/>
      <c r="AK42" s="580"/>
      <c r="AL42" s="580"/>
      <c r="AM42" s="580"/>
      <c r="AN42" s="580"/>
      <c r="AO42" s="580"/>
      <c r="AP42" s="580"/>
      <c r="AQ42" s="582"/>
      <c r="AR42" s="559"/>
    </row>
    <row r="43" spans="1:44" x14ac:dyDescent="0.35">
      <c r="A43" s="552">
        <v>37</v>
      </c>
      <c r="C43" s="583">
        <v>45478</v>
      </c>
      <c r="D43" s="584" t="s">
        <v>828</v>
      </c>
      <c r="E43" s="35" t="s">
        <v>963</v>
      </c>
      <c r="F43" s="35" t="s">
        <v>964</v>
      </c>
      <c r="G43" s="550" t="s">
        <v>806</v>
      </c>
      <c r="H43" s="563">
        <v>-603.45000000000005</v>
      </c>
      <c r="I43" s="1230">
        <v>-603.45000000000005</v>
      </c>
      <c r="J43" s="579">
        <f t="shared" si="1"/>
        <v>-603.45000000000005</v>
      </c>
      <c r="K43" s="580"/>
      <c r="L43" s="580"/>
      <c r="M43" s="580"/>
      <c r="N43" s="580"/>
      <c r="O43" s="580"/>
      <c r="P43" s="580"/>
      <c r="Q43" s="580"/>
      <c r="R43" s="580"/>
      <c r="S43" s="580"/>
      <c r="T43" s="580"/>
      <c r="U43" s="580"/>
      <c r="V43" s="563"/>
      <c r="W43" s="581"/>
      <c r="X43" s="581"/>
      <c r="Y43" s="580"/>
      <c r="Z43" s="580"/>
      <c r="AA43" s="580"/>
      <c r="AB43" s="580"/>
      <c r="AC43" s="581"/>
      <c r="AD43" s="580"/>
      <c r="AE43" s="581"/>
      <c r="AF43" s="581"/>
      <c r="AG43" s="581"/>
      <c r="AH43" s="581"/>
      <c r="AI43" s="581"/>
      <c r="AJ43" s="580"/>
      <c r="AK43" s="580"/>
      <c r="AL43" s="580"/>
      <c r="AM43" s="580"/>
      <c r="AN43" s="580"/>
      <c r="AO43" s="580">
        <v>-603.45000000000005</v>
      </c>
      <c r="AP43" s="580"/>
      <c r="AQ43" s="582"/>
      <c r="AR43" s="559"/>
    </row>
    <row r="44" spans="1:44" x14ac:dyDescent="0.35">
      <c r="A44" s="552">
        <v>38</v>
      </c>
      <c r="B44" s="550">
        <v>0</v>
      </c>
      <c r="C44" s="583">
        <v>45483</v>
      </c>
      <c r="D44" s="584">
        <v>2667</v>
      </c>
      <c r="E44" s="35" t="s">
        <v>791</v>
      </c>
      <c r="F44" s="35" t="s">
        <v>893</v>
      </c>
      <c r="G44" s="550" t="s">
        <v>894</v>
      </c>
      <c r="H44" s="563">
        <v>933.82</v>
      </c>
      <c r="I44" s="1228"/>
      <c r="J44" s="579">
        <f t="shared" si="1"/>
        <v>933.82</v>
      </c>
      <c r="K44" s="580">
        <v>0</v>
      </c>
      <c r="L44" s="580"/>
      <c r="M44" s="580">
        <v>933.82</v>
      </c>
      <c r="N44" s="580"/>
      <c r="O44" s="580"/>
      <c r="P44" s="580"/>
      <c r="Q44" s="580"/>
      <c r="R44" s="580"/>
      <c r="S44" s="580"/>
      <c r="T44" s="580"/>
      <c r="U44" s="580"/>
      <c r="V44" s="563"/>
      <c r="W44" s="581"/>
      <c r="X44" s="581"/>
      <c r="Y44" s="580"/>
      <c r="Z44" s="580"/>
      <c r="AA44" s="580"/>
      <c r="AB44" s="580"/>
      <c r="AC44" s="581"/>
      <c r="AD44" s="580"/>
      <c r="AE44" s="581"/>
      <c r="AF44" s="581"/>
      <c r="AG44" s="581"/>
      <c r="AH44" s="581"/>
      <c r="AI44" s="581"/>
      <c r="AJ44" s="580"/>
      <c r="AK44" s="580"/>
      <c r="AL44" s="580"/>
      <c r="AM44" s="580"/>
      <c r="AN44" s="580"/>
      <c r="AO44" s="580"/>
      <c r="AP44" s="580"/>
      <c r="AQ44" s="582"/>
      <c r="AR44" s="559"/>
    </row>
    <row r="45" spans="1:44" x14ac:dyDescent="0.35">
      <c r="A45" s="552">
        <v>39</v>
      </c>
      <c r="B45" s="550">
        <v>0</v>
      </c>
      <c r="C45" s="583">
        <v>45483</v>
      </c>
      <c r="D45" s="584">
        <v>2667</v>
      </c>
      <c r="E45" s="35" t="s">
        <v>791</v>
      </c>
      <c r="F45" s="35" t="s">
        <v>895</v>
      </c>
      <c r="G45" s="550" t="s">
        <v>894</v>
      </c>
      <c r="H45" s="563">
        <v>26</v>
      </c>
      <c r="I45" s="1230">
        <f>SUM(H44:H45)</f>
        <v>959.82</v>
      </c>
      <c r="J45" s="579">
        <f t="shared" si="1"/>
        <v>26</v>
      </c>
      <c r="K45" s="580">
        <v>0</v>
      </c>
      <c r="L45" s="580"/>
      <c r="M45" s="580"/>
      <c r="N45" s="580"/>
      <c r="O45" s="580"/>
      <c r="P45" s="580"/>
      <c r="Q45" s="580"/>
      <c r="R45" s="580"/>
      <c r="S45" s="580"/>
      <c r="T45" s="580">
        <v>26</v>
      </c>
      <c r="U45" s="580"/>
      <c r="V45" s="563"/>
      <c r="W45" s="581"/>
      <c r="X45" s="581"/>
      <c r="Y45" s="580"/>
      <c r="Z45" s="580"/>
      <c r="AA45" s="580"/>
      <c r="AB45" s="580"/>
      <c r="AC45" s="581"/>
      <c r="AD45" s="580"/>
      <c r="AE45" s="581"/>
      <c r="AF45" s="581"/>
      <c r="AG45" s="581"/>
      <c r="AH45" s="581"/>
      <c r="AI45" s="581"/>
      <c r="AJ45" s="580"/>
      <c r="AK45" s="580"/>
      <c r="AL45" s="580"/>
      <c r="AM45" s="580"/>
      <c r="AN45" s="580"/>
      <c r="AO45" s="580"/>
      <c r="AP45" s="580"/>
      <c r="AQ45" s="582"/>
      <c r="AR45" s="559"/>
    </row>
    <row r="46" spans="1:44" x14ac:dyDescent="0.35">
      <c r="A46">
        <v>40</v>
      </c>
      <c r="B46" s="550">
        <v>0</v>
      </c>
      <c r="C46" s="583">
        <v>45483</v>
      </c>
      <c r="D46" s="584">
        <v>2668</v>
      </c>
      <c r="E46" s="35" t="s">
        <v>796</v>
      </c>
      <c r="F46" s="35" t="s">
        <v>896</v>
      </c>
      <c r="G46" s="550" t="s">
        <v>897</v>
      </c>
      <c r="H46" s="563">
        <v>323.24</v>
      </c>
      <c r="I46" s="1230">
        <v>323.24</v>
      </c>
      <c r="J46" s="579">
        <f t="shared" si="1"/>
        <v>323.24</v>
      </c>
      <c r="K46" s="580">
        <v>0</v>
      </c>
      <c r="L46" s="580"/>
      <c r="M46" s="580">
        <v>254.34</v>
      </c>
      <c r="N46" s="580">
        <v>68.900000000000006</v>
      </c>
      <c r="O46" s="580"/>
      <c r="P46" s="580"/>
      <c r="Q46" s="580"/>
      <c r="R46" s="580"/>
      <c r="S46" s="580"/>
      <c r="T46" s="580"/>
      <c r="U46" s="580"/>
      <c r="V46" s="563"/>
      <c r="W46" s="581"/>
      <c r="X46" s="581"/>
      <c r="Y46" s="580"/>
      <c r="Z46" s="580"/>
      <c r="AA46" s="580"/>
      <c r="AB46" s="580"/>
      <c r="AC46" s="581"/>
      <c r="AD46" s="580"/>
      <c r="AE46" s="581"/>
      <c r="AF46" s="581"/>
      <c r="AG46" s="581"/>
      <c r="AH46" s="581"/>
      <c r="AI46" s="581"/>
      <c r="AJ46" s="580"/>
      <c r="AK46" s="580"/>
      <c r="AL46" s="580"/>
      <c r="AM46" s="580"/>
      <c r="AN46" s="580"/>
      <c r="AO46" s="580"/>
      <c r="AP46" s="580"/>
      <c r="AQ46" s="582"/>
      <c r="AR46" s="559"/>
    </row>
    <row r="47" spans="1:44" x14ac:dyDescent="0.35">
      <c r="A47" s="552">
        <v>41</v>
      </c>
      <c r="B47" s="550">
        <v>0</v>
      </c>
      <c r="C47" s="583">
        <v>45483</v>
      </c>
      <c r="D47" s="584">
        <v>2669</v>
      </c>
      <c r="E47" s="35" t="s">
        <v>799</v>
      </c>
      <c r="F47" s="35" t="s">
        <v>899</v>
      </c>
      <c r="G47" s="550" t="s">
        <v>898</v>
      </c>
      <c r="H47" s="563">
        <v>349.54</v>
      </c>
      <c r="I47" s="1230">
        <v>349.54</v>
      </c>
      <c r="J47" s="579">
        <f t="shared" si="1"/>
        <v>349.53999999999996</v>
      </c>
      <c r="K47" s="580">
        <v>0</v>
      </c>
      <c r="L47" s="580"/>
      <c r="M47" s="580">
        <v>69.16</v>
      </c>
      <c r="N47" s="580"/>
      <c r="O47" s="580">
        <v>280.38</v>
      </c>
      <c r="P47" s="580"/>
      <c r="Q47" s="580"/>
      <c r="R47" s="580"/>
      <c r="S47" s="580"/>
      <c r="T47" s="580"/>
      <c r="U47" s="580"/>
      <c r="V47" s="563"/>
      <c r="W47" s="581"/>
      <c r="X47" s="581"/>
      <c r="Y47" s="580"/>
      <c r="Z47" s="580"/>
      <c r="AA47" s="580"/>
      <c r="AB47" s="580"/>
      <c r="AC47" s="581"/>
      <c r="AD47" s="580"/>
      <c r="AE47" s="581"/>
      <c r="AF47" s="581"/>
      <c r="AG47" s="581"/>
      <c r="AH47" s="581"/>
      <c r="AI47" s="581"/>
      <c r="AJ47" s="580"/>
      <c r="AK47" s="580"/>
      <c r="AL47" s="580"/>
      <c r="AM47" s="580"/>
      <c r="AN47" s="580"/>
      <c r="AO47" s="580"/>
      <c r="AP47" s="580"/>
      <c r="AQ47" s="582"/>
      <c r="AR47" s="559"/>
    </row>
    <row r="48" spans="1:44" x14ac:dyDescent="0.35">
      <c r="A48" s="552">
        <v>42</v>
      </c>
      <c r="B48" s="550">
        <v>0</v>
      </c>
      <c r="C48" s="583">
        <v>45483</v>
      </c>
      <c r="D48" s="584">
        <v>2670</v>
      </c>
      <c r="E48" s="35" t="s">
        <v>791</v>
      </c>
      <c r="F48" s="35" t="s">
        <v>900</v>
      </c>
      <c r="G48" s="550" t="s">
        <v>901</v>
      </c>
      <c r="H48" s="563">
        <v>933.82</v>
      </c>
      <c r="I48" s="1228"/>
      <c r="J48" s="579">
        <f t="shared" si="1"/>
        <v>933.82</v>
      </c>
      <c r="K48" s="580">
        <v>0</v>
      </c>
      <c r="L48" s="580"/>
      <c r="M48" s="580">
        <v>933.82</v>
      </c>
      <c r="N48" s="580"/>
      <c r="O48" s="580"/>
      <c r="P48" s="580"/>
      <c r="Q48" s="580"/>
      <c r="R48" s="580"/>
      <c r="S48" s="580"/>
      <c r="T48" s="580"/>
      <c r="U48" s="580"/>
      <c r="V48" s="563"/>
      <c r="W48" s="581"/>
      <c r="X48" s="581"/>
      <c r="Y48" s="580"/>
      <c r="Z48" s="580"/>
      <c r="AA48" s="580"/>
      <c r="AB48" s="580"/>
      <c r="AC48" s="581"/>
      <c r="AD48" s="580"/>
      <c r="AE48" s="581"/>
      <c r="AF48" s="581"/>
      <c r="AG48" s="581"/>
      <c r="AH48" s="581"/>
      <c r="AI48" s="581"/>
      <c r="AJ48" s="580"/>
      <c r="AK48" s="580"/>
      <c r="AL48" s="580"/>
      <c r="AM48" s="580"/>
      <c r="AN48" s="580"/>
      <c r="AO48" s="580"/>
      <c r="AP48" s="580"/>
      <c r="AQ48" s="582"/>
      <c r="AR48" s="559"/>
    </row>
    <row r="49" spans="1:44" x14ac:dyDescent="0.35">
      <c r="A49" s="552">
        <v>43</v>
      </c>
      <c r="B49" s="550">
        <v>0</v>
      </c>
      <c r="C49" s="583">
        <v>45483</v>
      </c>
      <c r="D49" s="584">
        <v>2670</v>
      </c>
      <c r="E49" s="35" t="s">
        <v>791</v>
      </c>
      <c r="F49" s="35" t="s">
        <v>902</v>
      </c>
      <c r="G49" s="550" t="s">
        <v>901</v>
      </c>
      <c r="H49" s="563">
        <v>26</v>
      </c>
      <c r="I49" s="1230">
        <f>SUM(H48:H49)</f>
        <v>959.82</v>
      </c>
      <c r="J49" s="579">
        <f t="shared" si="1"/>
        <v>26</v>
      </c>
      <c r="K49" s="580">
        <v>0</v>
      </c>
      <c r="L49" s="580"/>
      <c r="M49" s="580"/>
      <c r="N49" s="580"/>
      <c r="O49" s="580"/>
      <c r="P49" s="580"/>
      <c r="Q49" s="580"/>
      <c r="R49" s="580"/>
      <c r="S49" s="580"/>
      <c r="T49" s="580">
        <v>26</v>
      </c>
      <c r="U49" s="580"/>
      <c r="V49" s="563"/>
      <c r="W49" s="581"/>
      <c r="X49" s="581"/>
      <c r="Y49" s="580"/>
      <c r="Z49" s="580"/>
      <c r="AA49" s="580"/>
      <c r="AB49" s="580"/>
      <c r="AC49" s="581"/>
      <c r="AD49" s="580"/>
      <c r="AE49" s="581"/>
      <c r="AF49" s="581"/>
      <c r="AG49" s="581"/>
      <c r="AH49" s="581"/>
      <c r="AI49" s="581"/>
      <c r="AJ49" s="580"/>
      <c r="AK49" s="580"/>
      <c r="AL49" s="580"/>
      <c r="AM49" s="580"/>
      <c r="AN49" s="580"/>
      <c r="AO49" s="580"/>
      <c r="AP49" s="580"/>
      <c r="AQ49" s="582"/>
      <c r="AR49" s="559"/>
    </row>
    <row r="50" spans="1:44" x14ac:dyDescent="0.35">
      <c r="A50">
        <v>44</v>
      </c>
      <c r="B50" s="550">
        <v>0</v>
      </c>
      <c r="C50" s="583">
        <v>45483</v>
      </c>
      <c r="D50" s="584">
        <v>2671</v>
      </c>
      <c r="E50" s="35" t="s">
        <v>796</v>
      </c>
      <c r="F50" s="35" t="s">
        <v>903</v>
      </c>
      <c r="G50" s="550" t="s">
        <v>904</v>
      </c>
      <c r="H50" s="563">
        <v>323.24</v>
      </c>
      <c r="I50" s="1230">
        <v>323.24</v>
      </c>
      <c r="J50" s="579">
        <f t="shared" si="1"/>
        <v>323.24</v>
      </c>
      <c r="K50" s="580">
        <v>0</v>
      </c>
      <c r="L50" s="580"/>
      <c r="M50" s="580">
        <v>254.34</v>
      </c>
      <c r="N50" s="580">
        <v>68.900000000000006</v>
      </c>
      <c r="O50" s="580"/>
      <c r="P50" s="580"/>
      <c r="Q50" s="580"/>
      <c r="R50" s="580"/>
      <c r="S50" s="580"/>
      <c r="T50" s="580"/>
      <c r="U50" s="580"/>
      <c r="V50" s="563"/>
      <c r="W50" s="581"/>
      <c r="X50" s="581"/>
      <c r="Y50" s="580"/>
      <c r="Z50" s="580"/>
      <c r="AA50" s="580"/>
      <c r="AB50" s="580"/>
      <c r="AC50" s="581"/>
      <c r="AD50" s="580"/>
      <c r="AE50" s="581"/>
      <c r="AF50" s="581"/>
      <c r="AG50" s="581"/>
      <c r="AH50" s="581"/>
      <c r="AI50" s="581"/>
      <c r="AJ50" s="580"/>
      <c r="AK50" s="580"/>
      <c r="AL50" s="580"/>
      <c r="AM50" s="580"/>
      <c r="AN50" s="580"/>
      <c r="AO50" s="580"/>
      <c r="AP50" s="580"/>
      <c r="AQ50" s="582"/>
      <c r="AR50" s="559"/>
    </row>
    <row r="51" spans="1:44" x14ac:dyDescent="0.35">
      <c r="A51">
        <v>45</v>
      </c>
      <c r="B51" s="550">
        <v>0</v>
      </c>
      <c r="C51" s="583">
        <v>45483</v>
      </c>
      <c r="D51" s="584">
        <v>2672</v>
      </c>
      <c r="E51" s="35" t="s">
        <v>799</v>
      </c>
      <c r="F51" s="35" t="s">
        <v>905</v>
      </c>
      <c r="G51" s="550" t="s">
        <v>906</v>
      </c>
      <c r="H51" s="563">
        <v>349.52</v>
      </c>
      <c r="I51" s="1230">
        <v>349.52</v>
      </c>
      <c r="J51" s="579">
        <f t="shared" si="1"/>
        <v>349.52</v>
      </c>
      <c r="K51" s="580">
        <v>0</v>
      </c>
      <c r="L51" s="580"/>
      <c r="M51" s="580">
        <v>69.14</v>
      </c>
      <c r="N51" s="580"/>
      <c r="O51" s="580">
        <v>280.38</v>
      </c>
      <c r="P51" s="580"/>
      <c r="Q51" s="580"/>
      <c r="R51" s="580"/>
      <c r="S51" s="580"/>
      <c r="T51" s="580"/>
      <c r="U51" s="580"/>
      <c r="V51" s="563"/>
      <c r="W51" s="581"/>
      <c r="X51" s="581"/>
      <c r="Y51" s="580"/>
      <c r="Z51" s="580"/>
      <c r="AA51" s="580"/>
      <c r="AB51" s="580"/>
      <c r="AC51" s="581"/>
      <c r="AD51" s="580"/>
      <c r="AE51" s="581"/>
      <c r="AF51" s="581"/>
      <c r="AG51" s="581"/>
      <c r="AH51" s="581"/>
      <c r="AI51" s="581"/>
      <c r="AJ51" s="580"/>
      <c r="AK51" s="580"/>
      <c r="AL51" s="580"/>
      <c r="AM51" s="580"/>
      <c r="AN51" s="580"/>
      <c r="AO51" s="580"/>
      <c r="AP51" s="580"/>
      <c r="AQ51" s="582"/>
      <c r="AR51" s="559"/>
    </row>
    <row r="52" spans="1:44" x14ac:dyDescent="0.35">
      <c r="A52">
        <v>46</v>
      </c>
      <c r="B52" s="550">
        <v>131254412</v>
      </c>
      <c r="C52" s="583">
        <v>45483</v>
      </c>
      <c r="D52" s="584">
        <v>2673</v>
      </c>
      <c r="E52" s="35" t="s">
        <v>829</v>
      </c>
      <c r="F52" s="35" t="s">
        <v>907</v>
      </c>
      <c r="G52" s="550" t="s">
        <v>908</v>
      </c>
      <c r="H52" s="563">
        <v>1278.8499999999999</v>
      </c>
      <c r="I52" s="1230">
        <v>1278.8499999999999</v>
      </c>
      <c r="J52" s="579">
        <f t="shared" si="1"/>
        <v>1278.8499999999999</v>
      </c>
      <c r="K52" s="580">
        <v>213.14</v>
      </c>
      <c r="L52" s="580"/>
      <c r="M52" s="580"/>
      <c r="N52" s="580"/>
      <c r="O52" s="580"/>
      <c r="P52" s="580"/>
      <c r="Q52" s="580"/>
      <c r="R52" s="580"/>
      <c r="S52" s="580"/>
      <c r="T52" s="580"/>
      <c r="U52" s="580"/>
      <c r="V52" s="563"/>
      <c r="W52" s="581"/>
      <c r="X52" s="581"/>
      <c r="Y52" s="580"/>
      <c r="Z52" s="580"/>
      <c r="AA52" s="580"/>
      <c r="AB52" s="580">
        <v>1065.71</v>
      </c>
      <c r="AC52" s="581"/>
      <c r="AD52" s="580"/>
      <c r="AE52" s="581"/>
      <c r="AF52" s="581"/>
      <c r="AG52" s="581"/>
      <c r="AH52" s="581"/>
      <c r="AI52" s="581"/>
      <c r="AJ52" s="580"/>
      <c r="AK52" s="580"/>
      <c r="AL52" s="580"/>
      <c r="AM52" s="580"/>
      <c r="AN52" s="580"/>
      <c r="AO52" s="580"/>
      <c r="AP52" s="580"/>
      <c r="AQ52" s="582"/>
      <c r="AR52" s="559"/>
    </row>
    <row r="53" spans="1:44" x14ac:dyDescent="0.35">
      <c r="A53" s="552">
        <v>47</v>
      </c>
      <c r="B53" s="550">
        <v>358672751</v>
      </c>
      <c r="C53" s="583">
        <v>45483</v>
      </c>
      <c r="D53" s="584" t="s">
        <v>810</v>
      </c>
      <c r="E53" s="35" t="s">
        <v>807</v>
      </c>
      <c r="F53" s="35" t="s">
        <v>909</v>
      </c>
      <c r="G53" s="550" t="s">
        <v>910</v>
      </c>
      <c r="H53" s="563">
        <v>24.26</v>
      </c>
      <c r="I53" s="1230">
        <v>24.26</v>
      </c>
      <c r="J53" s="579">
        <f t="shared" si="1"/>
        <v>24.26</v>
      </c>
      <c r="K53" s="580">
        <v>1.1599999999999999</v>
      </c>
      <c r="L53" s="580"/>
      <c r="M53" s="580"/>
      <c r="N53" s="580"/>
      <c r="O53" s="580"/>
      <c r="P53" s="580"/>
      <c r="Q53" s="580"/>
      <c r="R53" s="580"/>
      <c r="S53" s="580"/>
      <c r="T53" s="580"/>
      <c r="U53" s="580"/>
      <c r="V53" s="563"/>
      <c r="W53" s="581"/>
      <c r="X53" s="581"/>
      <c r="Y53" s="580"/>
      <c r="Z53" s="580"/>
      <c r="AA53" s="580"/>
      <c r="AB53" s="580"/>
      <c r="AC53" s="581"/>
      <c r="AD53" s="580"/>
      <c r="AE53" s="581"/>
      <c r="AF53" s="581"/>
      <c r="AG53" s="581">
        <v>23.1</v>
      </c>
      <c r="AH53" s="581"/>
      <c r="AI53" s="581"/>
      <c r="AJ53" s="580"/>
      <c r="AK53" s="580"/>
      <c r="AL53" s="580"/>
      <c r="AM53" s="580"/>
      <c r="AN53" s="580"/>
      <c r="AO53" s="580"/>
      <c r="AP53" s="580"/>
      <c r="AQ53" s="582"/>
      <c r="AR53" s="559"/>
    </row>
    <row r="54" spans="1:44" x14ac:dyDescent="0.35">
      <c r="A54" s="552">
        <v>48</v>
      </c>
      <c r="B54" s="550">
        <v>0</v>
      </c>
      <c r="C54" s="583">
        <v>45483</v>
      </c>
      <c r="D54" s="584">
        <v>2674</v>
      </c>
      <c r="E54" s="35" t="s">
        <v>788</v>
      </c>
      <c r="F54" s="35" t="s">
        <v>911</v>
      </c>
      <c r="G54" s="550" t="s">
        <v>912</v>
      </c>
      <c r="H54" s="563">
        <v>40</v>
      </c>
      <c r="I54" s="1230">
        <v>40</v>
      </c>
      <c r="J54" s="579">
        <f t="shared" si="1"/>
        <v>40</v>
      </c>
      <c r="K54" s="580">
        <v>0</v>
      </c>
      <c r="L54" s="580"/>
      <c r="M54" s="580"/>
      <c r="N54" s="580"/>
      <c r="O54" s="580"/>
      <c r="P54" s="580"/>
      <c r="Q54" s="580"/>
      <c r="R54" s="580"/>
      <c r="S54" s="580"/>
      <c r="T54" s="580"/>
      <c r="U54" s="580"/>
      <c r="V54" s="563"/>
      <c r="W54" s="581"/>
      <c r="X54" s="581"/>
      <c r="Y54" s="580"/>
      <c r="Z54" s="580"/>
      <c r="AA54" s="580"/>
      <c r="AB54" s="580"/>
      <c r="AC54" s="581"/>
      <c r="AD54" s="580"/>
      <c r="AE54" s="581"/>
      <c r="AF54" s="581"/>
      <c r="AG54" s="581"/>
      <c r="AH54" s="581"/>
      <c r="AI54" s="581"/>
      <c r="AJ54" s="580"/>
      <c r="AK54" s="580"/>
      <c r="AL54" s="580">
        <v>40</v>
      </c>
      <c r="AM54" s="580"/>
      <c r="AN54" s="580"/>
      <c r="AO54" s="580"/>
      <c r="AP54" s="580"/>
      <c r="AQ54" s="582"/>
      <c r="AR54" s="559"/>
    </row>
    <row r="55" spans="1:44" x14ac:dyDescent="0.35">
      <c r="A55" s="552">
        <v>49</v>
      </c>
      <c r="B55" s="550">
        <v>0</v>
      </c>
      <c r="C55" s="583">
        <v>45510</v>
      </c>
      <c r="D55" s="584">
        <v>2675</v>
      </c>
      <c r="E55" s="35" t="s">
        <v>920</v>
      </c>
      <c r="F55" s="35" t="s">
        <v>921</v>
      </c>
      <c r="G55" s="550" t="s">
        <v>914</v>
      </c>
      <c r="H55" s="563">
        <v>0</v>
      </c>
      <c r="I55" s="1228">
        <v>0</v>
      </c>
      <c r="J55" s="579">
        <f t="shared" si="1"/>
        <v>0</v>
      </c>
      <c r="K55" s="580">
        <v>0</v>
      </c>
      <c r="L55" s="580"/>
      <c r="M55" s="580"/>
      <c r="N55" s="580"/>
      <c r="O55" s="580"/>
      <c r="P55" s="580"/>
      <c r="Q55" s="580"/>
      <c r="R55" s="580"/>
      <c r="S55" s="580"/>
      <c r="T55" s="580"/>
      <c r="U55" s="580"/>
      <c r="V55" s="563"/>
      <c r="W55" s="581"/>
      <c r="X55" s="581"/>
      <c r="Y55" s="580"/>
      <c r="Z55" s="580"/>
      <c r="AA55" s="580"/>
      <c r="AB55" s="580"/>
      <c r="AC55" s="581"/>
      <c r="AD55" s="580"/>
      <c r="AE55" s="581"/>
      <c r="AF55" s="581"/>
      <c r="AG55" s="581"/>
      <c r="AH55" s="581"/>
      <c r="AI55" s="581"/>
      <c r="AJ55" s="580"/>
      <c r="AK55" s="580"/>
      <c r="AL55" s="580"/>
      <c r="AM55" s="580"/>
      <c r="AN55" s="580"/>
      <c r="AO55" s="580"/>
      <c r="AP55" s="580"/>
      <c r="AQ55" s="582"/>
      <c r="AR55" s="559"/>
    </row>
    <row r="56" spans="1:44" x14ac:dyDescent="0.35">
      <c r="A56">
        <v>50</v>
      </c>
      <c r="B56" s="550">
        <v>0</v>
      </c>
      <c r="C56" s="583">
        <v>45510</v>
      </c>
      <c r="D56" s="584">
        <v>2676</v>
      </c>
      <c r="E56" s="35" t="s">
        <v>37</v>
      </c>
      <c r="F56" s="35" t="s">
        <v>916</v>
      </c>
      <c r="G56" s="550" t="s">
        <v>915</v>
      </c>
      <c r="H56" s="563">
        <v>361.5</v>
      </c>
      <c r="I56" s="1230">
        <v>361.5</v>
      </c>
      <c r="J56" s="579">
        <f t="shared" si="1"/>
        <v>361.5</v>
      </c>
      <c r="K56" s="580">
        <v>0</v>
      </c>
      <c r="L56" s="580"/>
      <c r="M56" s="580"/>
      <c r="N56" s="580"/>
      <c r="O56" s="580"/>
      <c r="P56" s="580"/>
      <c r="Q56" s="580"/>
      <c r="R56" s="580">
        <v>361.5</v>
      </c>
      <c r="S56" s="580"/>
      <c r="T56" s="580"/>
      <c r="U56" s="580"/>
      <c r="V56" s="563"/>
      <c r="W56" s="581"/>
      <c r="X56" s="581"/>
      <c r="Y56" s="580"/>
      <c r="Z56" s="580"/>
      <c r="AA56" s="580"/>
      <c r="AB56" s="580"/>
      <c r="AC56" s="581"/>
      <c r="AD56" s="580"/>
      <c r="AE56" s="581"/>
      <c r="AF56" s="581"/>
      <c r="AG56" s="581"/>
      <c r="AH56" s="581"/>
      <c r="AI56" s="581"/>
      <c r="AJ56" s="580"/>
      <c r="AK56" s="580"/>
      <c r="AL56" s="580"/>
      <c r="AM56" s="580"/>
      <c r="AN56" s="580"/>
      <c r="AO56" s="580"/>
      <c r="AP56" s="580"/>
      <c r="AQ56" s="582"/>
      <c r="AR56" s="559"/>
    </row>
    <row r="57" spans="1:44" x14ac:dyDescent="0.35">
      <c r="A57" s="552">
        <v>51</v>
      </c>
      <c r="B57" s="550">
        <v>358672751</v>
      </c>
      <c r="C57" s="583">
        <v>45512</v>
      </c>
      <c r="D57" s="584" t="s">
        <v>810</v>
      </c>
      <c r="E57" s="35" t="s">
        <v>807</v>
      </c>
      <c r="F57" s="35" t="s">
        <v>917</v>
      </c>
      <c r="G57" s="550" t="s">
        <v>918</v>
      </c>
      <c r="H57" s="563">
        <v>26.66</v>
      </c>
      <c r="I57" s="1230">
        <v>26.66</v>
      </c>
      <c r="J57" s="579">
        <f t="shared" si="1"/>
        <v>26.66</v>
      </c>
      <c r="K57" s="580">
        <v>1.27</v>
      </c>
      <c r="L57" s="580"/>
      <c r="M57" s="580"/>
      <c r="N57" s="580"/>
      <c r="O57" s="580"/>
      <c r="P57" s="580"/>
      <c r="Q57" s="580"/>
      <c r="R57" s="580"/>
      <c r="S57" s="580"/>
      <c r="T57" s="580"/>
      <c r="U57" s="580"/>
      <c r="V57" s="563"/>
      <c r="W57" s="581"/>
      <c r="X57" s="581"/>
      <c r="Y57" s="580"/>
      <c r="Z57" s="580"/>
      <c r="AA57" s="580"/>
      <c r="AB57" s="580"/>
      <c r="AC57" s="581"/>
      <c r="AD57" s="580"/>
      <c r="AE57" s="581"/>
      <c r="AF57" s="581"/>
      <c r="AG57" s="581">
        <v>25.39</v>
      </c>
      <c r="AH57" s="581"/>
      <c r="AI57" s="581"/>
      <c r="AJ57" s="580"/>
      <c r="AK57" s="580"/>
      <c r="AL57" s="580"/>
      <c r="AM57" s="580"/>
      <c r="AN57" s="580"/>
      <c r="AO57" s="580"/>
      <c r="AP57" s="580"/>
      <c r="AQ57" s="582"/>
      <c r="AR57" s="559"/>
    </row>
    <row r="58" spans="1:44" x14ac:dyDescent="0.35">
      <c r="A58" s="552">
        <v>52</v>
      </c>
      <c r="C58" s="583">
        <v>45512</v>
      </c>
      <c r="D58" s="584">
        <v>2677</v>
      </c>
      <c r="E58" s="35" t="s">
        <v>913</v>
      </c>
      <c r="F58" s="35" t="s">
        <v>919</v>
      </c>
      <c r="G58" s="550" t="s">
        <v>914</v>
      </c>
      <c r="H58" s="563">
        <v>175</v>
      </c>
      <c r="I58" s="1230">
        <v>175</v>
      </c>
      <c r="J58" s="579">
        <f t="shared" si="1"/>
        <v>175</v>
      </c>
      <c r="K58" s="580">
        <v>0</v>
      </c>
      <c r="L58" s="580"/>
      <c r="M58" s="580"/>
      <c r="N58" s="580"/>
      <c r="O58" s="580"/>
      <c r="P58" s="580"/>
      <c r="Q58" s="580"/>
      <c r="R58" s="580"/>
      <c r="S58" s="580"/>
      <c r="T58" s="580"/>
      <c r="U58" s="580"/>
      <c r="V58" s="563"/>
      <c r="W58" s="581"/>
      <c r="X58" s="581"/>
      <c r="Y58" s="580"/>
      <c r="Z58" s="580"/>
      <c r="AA58" s="580"/>
      <c r="AB58" s="580"/>
      <c r="AC58" s="581"/>
      <c r="AD58" s="580"/>
      <c r="AE58" s="581"/>
      <c r="AF58" s="581"/>
      <c r="AG58" s="581"/>
      <c r="AH58" s="581"/>
      <c r="AI58" s="581"/>
      <c r="AJ58" s="580">
        <v>175</v>
      </c>
      <c r="AK58" s="580"/>
      <c r="AL58" s="580"/>
      <c r="AM58" s="580"/>
      <c r="AN58" s="580"/>
      <c r="AO58" s="580"/>
      <c r="AP58" s="580"/>
      <c r="AQ58" s="582"/>
      <c r="AR58" s="559"/>
    </row>
    <row r="59" spans="1:44" x14ac:dyDescent="0.35">
      <c r="A59" s="552">
        <v>53</v>
      </c>
      <c r="C59" s="583">
        <v>45560</v>
      </c>
      <c r="D59" s="584">
        <v>2678</v>
      </c>
      <c r="E59" s="35" t="s">
        <v>791</v>
      </c>
      <c r="F59" s="35" t="s">
        <v>922</v>
      </c>
      <c r="G59" s="550" t="s">
        <v>923</v>
      </c>
      <c r="H59" s="563">
        <v>949.76</v>
      </c>
      <c r="I59" s="1228"/>
      <c r="J59" s="579">
        <f t="shared" si="1"/>
        <v>949.76</v>
      </c>
      <c r="K59" s="580">
        <v>0</v>
      </c>
      <c r="L59" s="580"/>
      <c r="M59" s="580">
        <v>949.76</v>
      </c>
      <c r="N59" s="580"/>
      <c r="O59" s="580"/>
      <c r="P59" s="580"/>
      <c r="Q59" s="580"/>
      <c r="R59" s="580"/>
      <c r="S59" s="580"/>
      <c r="T59" s="580"/>
      <c r="U59" s="580"/>
      <c r="V59" s="563"/>
      <c r="W59" s="581"/>
      <c r="X59" s="581"/>
      <c r="Y59" s="580"/>
      <c r="Z59" s="580"/>
      <c r="AA59" s="580"/>
      <c r="AB59" s="580"/>
      <c r="AC59" s="581"/>
      <c r="AD59" s="580"/>
      <c r="AE59" s="581"/>
      <c r="AF59" s="581"/>
      <c r="AG59" s="581"/>
      <c r="AH59" s="581"/>
      <c r="AI59" s="581"/>
      <c r="AJ59" s="580"/>
      <c r="AK59" s="580"/>
      <c r="AL59" s="580"/>
      <c r="AM59" s="580"/>
      <c r="AN59" s="580"/>
      <c r="AO59" s="580"/>
      <c r="AP59" s="580"/>
      <c r="AQ59" s="582"/>
      <c r="AR59" s="559"/>
    </row>
    <row r="60" spans="1:44" x14ac:dyDescent="0.35">
      <c r="A60">
        <v>54</v>
      </c>
      <c r="C60" s="583">
        <v>45560</v>
      </c>
      <c r="D60" s="584">
        <v>2678</v>
      </c>
      <c r="E60" s="35" t="s">
        <v>791</v>
      </c>
      <c r="F60" s="35" t="s">
        <v>924</v>
      </c>
      <c r="G60" s="550" t="s">
        <v>923</v>
      </c>
      <c r="H60" s="563">
        <v>26</v>
      </c>
      <c r="I60" s="1228"/>
      <c r="J60" s="579">
        <f t="shared" si="1"/>
        <v>26</v>
      </c>
      <c r="K60" s="580">
        <v>0</v>
      </c>
      <c r="L60" s="580"/>
      <c r="M60" s="580"/>
      <c r="N60" s="580"/>
      <c r="O60" s="580"/>
      <c r="P60" s="580"/>
      <c r="Q60" s="580"/>
      <c r="R60" s="580"/>
      <c r="S60" s="580"/>
      <c r="T60" s="580">
        <v>26</v>
      </c>
      <c r="U60" s="580"/>
      <c r="V60" s="563"/>
      <c r="W60" s="581"/>
      <c r="X60" s="581"/>
      <c r="Y60" s="580"/>
      <c r="Z60" s="580"/>
      <c r="AA60" s="580"/>
      <c r="AB60" s="580"/>
      <c r="AC60" s="581"/>
      <c r="AD60" s="580"/>
      <c r="AE60" s="581"/>
      <c r="AF60" s="581"/>
      <c r="AG60" s="581"/>
      <c r="AH60" s="581"/>
      <c r="AI60" s="581"/>
      <c r="AJ60" s="580"/>
      <c r="AK60" s="580"/>
      <c r="AL60" s="580"/>
      <c r="AM60" s="580"/>
      <c r="AN60" s="580"/>
      <c r="AO60" s="580"/>
      <c r="AP60" s="580"/>
      <c r="AQ60" s="582"/>
      <c r="AR60" s="559"/>
    </row>
    <row r="61" spans="1:44" x14ac:dyDescent="0.35">
      <c r="A61">
        <v>55</v>
      </c>
      <c r="B61" s="550">
        <v>185473729</v>
      </c>
      <c r="C61" s="583">
        <v>45560</v>
      </c>
      <c r="D61" s="584">
        <v>2678</v>
      </c>
      <c r="E61" s="35" t="s">
        <v>791</v>
      </c>
      <c r="F61" s="35" t="s">
        <v>925</v>
      </c>
      <c r="G61" s="550" t="s">
        <v>923</v>
      </c>
      <c r="H61" s="563">
        <v>12.5</v>
      </c>
      <c r="I61" s="1228"/>
      <c r="J61" s="579">
        <f t="shared" si="1"/>
        <v>12.5</v>
      </c>
      <c r="K61" s="580">
        <v>2.08</v>
      </c>
      <c r="L61" s="580"/>
      <c r="M61" s="580"/>
      <c r="N61" s="580"/>
      <c r="O61" s="580"/>
      <c r="P61" s="580"/>
      <c r="Q61" s="580"/>
      <c r="R61" s="580"/>
      <c r="S61" s="580"/>
      <c r="T61" s="580"/>
      <c r="U61" s="580"/>
      <c r="V61" s="563">
        <v>10.42</v>
      </c>
      <c r="W61" s="581"/>
      <c r="X61" s="581"/>
      <c r="Y61" s="580"/>
      <c r="Z61" s="580"/>
      <c r="AA61" s="580"/>
      <c r="AB61" s="580"/>
      <c r="AC61" s="581"/>
      <c r="AD61" s="580"/>
      <c r="AE61" s="581"/>
      <c r="AF61" s="581"/>
      <c r="AG61" s="581"/>
      <c r="AH61" s="581"/>
      <c r="AI61" s="581"/>
      <c r="AJ61" s="580"/>
      <c r="AK61" s="580"/>
      <c r="AL61" s="580"/>
      <c r="AM61" s="580"/>
      <c r="AN61" s="580"/>
      <c r="AO61" s="580"/>
      <c r="AP61" s="580"/>
      <c r="AQ61" s="582"/>
      <c r="AR61" s="559"/>
    </row>
    <row r="62" spans="1:44" x14ac:dyDescent="0.35">
      <c r="A62">
        <v>56</v>
      </c>
      <c r="B62" s="550">
        <v>811160289</v>
      </c>
      <c r="C62" s="583">
        <v>45560</v>
      </c>
      <c r="D62" s="584">
        <v>2678</v>
      </c>
      <c r="E62" s="35" t="s">
        <v>791</v>
      </c>
      <c r="F62" s="35" t="s">
        <v>926</v>
      </c>
      <c r="G62" s="550" t="s">
        <v>923</v>
      </c>
      <c r="H62" s="563">
        <v>21</v>
      </c>
      <c r="I62" s="1228"/>
      <c r="J62" s="579">
        <f t="shared" si="1"/>
        <v>21</v>
      </c>
      <c r="K62" s="580">
        <v>3.5</v>
      </c>
      <c r="L62" s="580"/>
      <c r="M62" s="580"/>
      <c r="N62" s="580"/>
      <c r="O62" s="580"/>
      <c r="P62" s="580"/>
      <c r="Q62" s="580"/>
      <c r="R62" s="580"/>
      <c r="S62" s="580"/>
      <c r="T62" s="580"/>
      <c r="U62" s="580">
        <v>17.5</v>
      </c>
      <c r="V62" s="563"/>
      <c r="W62" s="581"/>
      <c r="X62" s="581"/>
      <c r="Y62" s="580"/>
      <c r="Z62" s="580"/>
      <c r="AA62" s="580"/>
      <c r="AB62" s="580"/>
      <c r="AC62" s="581"/>
      <c r="AD62" s="580"/>
      <c r="AE62" s="581"/>
      <c r="AF62" s="581"/>
      <c r="AG62" s="581"/>
      <c r="AH62" s="581"/>
      <c r="AI62" s="581"/>
      <c r="AJ62" s="580"/>
      <c r="AK62" s="580"/>
      <c r="AL62" s="580"/>
      <c r="AM62" s="580"/>
      <c r="AN62" s="580"/>
      <c r="AO62" s="580"/>
      <c r="AP62" s="580"/>
      <c r="AQ62" s="582"/>
      <c r="AR62" s="559"/>
    </row>
    <row r="63" spans="1:44" x14ac:dyDescent="0.35">
      <c r="A63" s="552">
        <v>57</v>
      </c>
      <c r="B63" s="550">
        <v>211502667</v>
      </c>
      <c r="C63" s="583">
        <v>45560</v>
      </c>
      <c r="D63" s="584">
        <v>2678</v>
      </c>
      <c r="E63" s="35" t="s">
        <v>791</v>
      </c>
      <c r="F63" s="35" t="s">
        <v>927</v>
      </c>
      <c r="G63" s="550" t="s">
        <v>923</v>
      </c>
      <c r="H63" s="563">
        <v>134.4</v>
      </c>
      <c r="I63" s="1230">
        <f>SUM(H59:H63)</f>
        <v>1143.6600000000001</v>
      </c>
      <c r="J63" s="579">
        <f t="shared" si="1"/>
        <v>134.4</v>
      </c>
      <c r="K63" s="580">
        <v>22.4</v>
      </c>
      <c r="L63" s="580"/>
      <c r="M63" s="580"/>
      <c r="N63" s="580"/>
      <c r="O63" s="580"/>
      <c r="P63" s="580"/>
      <c r="Q63" s="580"/>
      <c r="R63" s="580"/>
      <c r="S63" s="580"/>
      <c r="T63" s="580"/>
      <c r="U63" s="580"/>
      <c r="V63" s="563"/>
      <c r="W63" s="581"/>
      <c r="X63" s="581"/>
      <c r="Y63" s="580"/>
      <c r="Z63" s="580"/>
      <c r="AA63" s="580"/>
      <c r="AB63" s="580"/>
      <c r="AC63" s="581"/>
      <c r="AD63" s="580"/>
      <c r="AE63" s="581"/>
      <c r="AF63" s="581"/>
      <c r="AG63" s="581"/>
      <c r="AH63" s="581"/>
      <c r="AI63" s="581"/>
      <c r="AJ63" s="580"/>
      <c r="AK63" s="580"/>
      <c r="AL63" s="580"/>
      <c r="AM63" s="580"/>
      <c r="AN63" s="580"/>
      <c r="AO63" s="580"/>
      <c r="AP63" s="580">
        <v>112</v>
      </c>
      <c r="AQ63" s="582"/>
      <c r="AR63" s="559"/>
    </row>
    <row r="64" spans="1:44" x14ac:dyDescent="0.35">
      <c r="A64" s="552">
        <v>58</v>
      </c>
      <c r="B64" s="550">
        <v>0</v>
      </c>
      <c r="C64" s="583">
        <v>45560</v>
      </c>
      <c r="D64" s="584">
        <v>2679</v>
      </c>
      <c r="E64" s="35" t="s">
        <v>796</v>
      </c>
      <c r="F64" s="35" t="s">
        <v>930</v>
      </c>
      <c r="G64" s="550" t="s">
        <v>928</v>
      </c>
      <c r="H64" s="563">
        <v>333.02</v>
      </c>
      <c r="I64" s="1230">
        <v>333.02</v>
      </c>
      <c r="J64" s="579">
        <f t="shared" si="1"/>
        <v>333.02</v>
      </c>
      <c r="K64" s="580">
        <v>0</v>
      </c>
      <c r="L64" s="580"/>
      <c r="M64" s="580">
        <v>260.83999999999997</v>
      </c>
      <c r="N64" s="580">
        <v>72.180000000000007</v>
      </c>
      <c r="O64" s="580"/>
      <c r="P64" s="580"/>
      <c r="Q64" s="580"/>
      <c r="R64" s="580"/>
      <c r="S64" s="580"/>
      <c r="T64" s="580"/>
      <c r="U64" s="580"/>
      <c r="V64" s="563"/>
      <c r="W64" s="581"/>
      <c r="X64" s="581"/>
      <c r="Y64" s="580"/>
      <c r="Z64" s="580"/>
      <c r="AA64" s="580"/>
      <c r="AB64" s="580"/>
      <c r="AC64" s="581"/>
      <c r="AD64" s="580"/>
      <c r="AE64" s="581"/>
      <c r="AF64" s="581"/>
      <c r="AG64" s="581"/>
      <c r="AH64" s="581"/>
      <c r="AI64" s="581"/>
      <c r="AJ64" s="580"/>
      <c r="AK64" s="580"/>
      <c r="AL64" s="580"/>
      <c r="AM64" s="580"/>
      <c r="AN64" s="580"/>
      <c r="AO64" s="580"/>
      <c r="AP64" s="580"/>
      <c r="AQ64" s="582"/>
      <c r="AR64" s="559"/>
    </row>
    <row r="65" spans="1:44" x14ac:dyDescent="0.35">
      <c r="A65" s="552">
        <v>59</v>
      </c>
      <c r="B65" s="550">
        <v>0</v>
      </c>
      <c r="C65" s="583">
        <v>45560</v>
      </c>
      <c r="D65" s="584">
        <v>2680</v>
      </c>
      <c r="E65" s="35" t="s">
        <v>799</v>
      </c>
      <c r="F65" s="35" t="s">
        <v>932</v>
      </c>
      <c r="G65" s="550" t="s">
        <v>931</v>
      </c>
      <c r="H65" s="563">
        <v>356.14</v>
      </c>
      <c r="I65" s="1230">
        <v>356.14</v>
      </c>
      <c r="J65" s="579">
        <f t="shared" si="1"/>
        <v>356.14</v>
      </c>
      <c r="K65" s="580">
        <v>0</v>
      </c>
      <c r="L65" s="580"/>
      <c r="M65" s="580">
        <v>70.459999999999994</v>
      </c>
      <c r="N65" s="580"/>
      <c r="O65" s="580">
        <v>285.68</v>
      </c>
      <c r="P65" s="580"/>
      <c r="Q65" s="580"/>
      <c r="R65" s="580"/>
      <c r="S65" s="580"/>
      <c r="T65" s="580"/>
      <c r="U65" s="580"/>
      <c r="V65" s="563"/>
      <c r="W65" s="581"/>
      <c r="X65" s="581"/>
      <c r="Y65" s="580"/>
      <c r="Z65" s="580"/>
      <c r="AA65" s="580"/>
      <c r="AB65" s="580"/>
      <c r="AC65" s="581"/>
      <c r="AD65" s="580"/>
      <c r="AE65" s="581"/>
      <c r="AF65" s="581"/>
      <c r="AG65" s="581"/>
      <c r="AH65" s="581"/>
      <c r="AI65" s="581"/>
      <c r="AJ65" s="580"/>
      <c r="AK65" s="580"/>
      <c r="AL65" s="580"/>
      <c r="AM65" s="580"/>
      <c r="AN65" s="580"/>
      <c r="AO65" s="580"/>
      <c r="AP65" s="580"/>
      <c r="AQ65" s="582"/>
      <c r="AR65" s="559"/>
    </row>
    <row r="66" spans="1:44" x14ac:dyDescent="0.35">
      <c r="A66">
        <v>60</v>
      </c>
      <c r="B66" s="550">
        <v>845184023</v>
      </c>
      <c r="C66" s="583">
        <v>45560</v>
      </c>
      <c r="D66" s="584">
        <v>2681</v>
      </c>
      <c r="E66" s="35" t="s">
        <v>934</v>
      </c>
      <c r="F66" s="35" t="s">
        <v>935</v>
      </c>
      <c r="G66" s="550" t="s">
        <v>933</v>
      </c>
      <c r="H66" s="563">
        <v>90</v>
      </c>
      <c r="I66" s="1230">
        <v>90</v>
      </c>
      <c r="J66" s="579">
        <f t="shared" si="1"/>
        <v>90</v>
      </c>
      <c r="K66" s="580">
        <v>15</v>
      </c>
      <c r="L66" s="580"/>
      <c r="M66" s="580"/>
      <c r="N66" s="580"/>
      <c r="O66" s="580"/>
      <c r="P66" s="580"/>
      <c r="Q66" s="580"/>
      <c r="R66" s="580"/>
      <c r="S66" s="580"/>
      <c r="T66" s="580"/>
      <c r="U66" s="580"/>
      <c r="V66" s="563"/>
      <c r="W66" s="581"/>
      <c r="X66" s="581"/>
      <c r="Y66" s="580"/>
      <c r="Z66" s="580"/>
      <c r="AA66" s="580"/>
      <c r="AB66" s="580"/>
      <c r="AC66" s="581"/>
      <c r="AD66" s="580"/>
      <c r="AE66" s="581"/>
      <c r="AF66" s="581"/>
      <c r="AG66" s="581"/>
      <c r="AH66" s="581"/>
      <c r="AI66" s="581"/>
      <c r="AJ66" s="580">
        <v>75</v>
      </c>
      <c r="AK66" s="580"/>
      <c r="AL66" s="580"/>
      <c r="AM66" s="580"/>
      <c r="AN66" s="580"/>
      <c r="AO66" s="580"/>
      <c r="AP66" s="580"/>
      <c r="AQ66" s="582"/>
      <c r="AR66" s="559"/>
    </row>
    <row r="67" spans="1:44" x14ac:dyDescent="0.35">
      <c r="A67" s="552">
        <v>61</v>
      </c>
      <c r="B67" s="550">
        <v>0</v>
      </c>
      <c r="C67" s="583">
        <v>45560</v>
      </c>
      <c r="D67" s="584">
        <v>2682</v>
      </c>
      <c r="E67" s="35" t="s">
        <v>920</v>
      </c>
      <c r="F67" s="35" t="s">
        <v>1013</v>
      </c>
      <c r="G67" s="550" t="s">
        <v>936</v>
      </c>
      <c r="H67" s="563">
        <v>0</v>
      </c>
      <c r="I67" s="1228">
        <v>0</v>
      </c>
      <c r="J67" s="579">
        <f t="shared" si="1"/>
        <v>0</v>
      </c>
      <c r="K67" s="580">
        <v>0</v>
      </c>
      <c r="L67" s="580"/>
      <c r="M67" s="580"/>
      <c r="N67" s="580"/>
      <c r="O67" s="580"/>
      <c r="P67" s="580"/>
      <c r="Q67" s="580"/>
      <c r="R67" s="580"/>
      <c r="S67" s="580"/>
      <c r="T67" s="580"/>
      <c r="U67" s="580"/>
      <c r="V67" s="563"/>
      <c r="W67" s="581"/>
      <c r="X67" s="581"/>
      <c r="Y67" s="580"/>
      <c r="Z67" s="580"/>
      <c r="AA67" s="580"/>
      <c r="AB67" s="580"/>
      <c r="AC67" s="581"/>
      <c r="AD67" s="580"/>
      <c r="AE67" s="581"/>
      <c r="AF67" s="581"/>
      <c r="AG67" s="581"/>
      <c r="AH67" s="581"/>
      <c r="AI67" s="581"/>
      <c r="AJ67" s="580"/>
      <c r="AK67" s="580"/>
      <c r="AL67" s="580"/>
      <c r="AM67" s="580"/>
      <c r="AN67" s="580"/>
      <c r="AO67" s="580"/>
      <c r="AP67" s="580"/>
      <c r="AQ67" s="582"/>
      <c r="AR67" s="559"/>
    </row>
    <row r="68" spans="1:44" x14ac:dyDescent="0.35">
      <c r="A68" s="552">
        <v>62</v>
      </c>
      <c r="B68" s="550">
        <v>0</v>
      </c>
      <c r="C68" s="583">
        <v>45560</v>
      </c>
      <c r="D68" s="584">
        <v>2683</v>
      </c>
      <c r="E68" s="35" t="s">
        <v>939</v>
      </c>
      <c r="F68" s="35" t="s">
        <v>940</v>
      </c>
      <c r="G68" s="550" t="s">
        <v>938</v>
      </c>
      <c r="H68" s="563">
        <v>175</v>
      </c>
      <c r="I68" s="1230">
        <v>175</v>
      </c>
      <c r="J68" s="579">
        <f t="shared" si="1"/>
        <v>175</v>
      </c>
      <c r="K68" s="580">
        <v>0</v>
      </c>
      <c r="L68" s="580"/>
      <c r="M68" s="580"/>
      <c r="N68" s="580"/>
      <c r="O68" s="580"/>
      <c r="P68" s="580"/>
      <c r="Q68" s="580"/>
      <c r="R68" s="580"/>
      <c r="S68" s="580"/>
      <c r="T68" s="580"/>
      <c r="U68" s="580"/>
      <c r="V68" s="563"/>
      <c r="W68" s="581"/>
      <c r="X68" s="581"/>
      <c r="Y68" s="580"/>
      <c r="Z68" s="580"/>
      <c r="AA68" s="580"/>
      <c r="AB68" s="580"/>
      <c r="AC68" s="581">
        <v>175</v>
      </c>
      <c r="AD68" s="580"/>
      <c r="AE68" s="581"/>
      <c r="AF68" s="581"/>
      <c r="AG68" s="581"/>
      <c r="AH68" s="581"/>
      <c r="AI68" s="581"/>
      <c r="AJ68" s="580"/>
      <c r="AK68" s="580"/>
      <c r="AL68" s="580"/>
      <c r="AM68" s="580"/>
      <c r="AN68" s="580"/>
      <c r="AO68" s="580"/>
      <c r="AP68" s="580"/>
      <c r="AQ68" s="582"/>
      <c r="AR68" s="559"/>
    </row>
    <row r="69" spans="1:44" x14ac:dyDescent="0.35">
      <c r="A69" s="552">
        <v>63</v>
      </c>
      <c r="B69" s="550">
        <v>0</v>
      </c>
      <c r="C69" s="583">
        <v>45560</v>
      </c>
      <c r="D69" s="584">
        <v>2684</v>
      </c>
      <c r="E69" s="35" t="s">
        <v>851</v>
      </c>
      <c r="F69" s="35" t="s">
        <v>942</v>
      </c>
      <c r="G69" s="550" t="s">
        <v>941</v>
      </c>
      <c r="H69" s="563">
        <v>40</v>
      </c>
      <c r="I69" s="1230">
        <v>40</v>
      </c>
      <c r="J69" s="579">
        <f t="shared" si="1"/>
        <v>40</v>
      </c>
      <c r="K69" s="580">
        <v>0</v>
      </c>
      <c r="L69" s="580"/>
      <c r="M69" s="580"/>
      <c r="N69" s="580"/>
      <c r="O69" s="580"/>
      <c r="P69" s="580"/>
      <c r="Q69" s="580"/>
      <c r="R69" s="580"/>
      <c r="S69" s="580"/>
      <c r="T69" s="580"/>
      <c r="U69" s="580">
        <v>40</v>
      </c>
      <c r="V69" s="563"/>
      <c r="W69" s="581"/>
      <c r="X69" s="581"/>
      <c r="Y69" s="580"/>
      <c r="Z69" s="580"/>
      <c r="AA69" s="580"/>
      <c r="AB69" s="580"/>
      <c r="AC69" s="581"/>
      <c r="AD69" s="580"/>
      <c r="AE69" s="581"/>
      <c r="AF69" s="581"/>
      <c r="AG69" s="581"/>
      <c r="AH69" s="581"/>
      <c r="AI69" s="581"/>
      <c r="AJ69" s="580"/>
      <c r="AK69" s="580"/>
      <c r="AL69" s="580"/>
      <c r="AM69" s="580"/>
      <c r="AN69" s="580"/>
      <c r="AO69" s="580"/>
      <c r="AP69" s="580"/>
      <c r="AQ69" s="582"/>
      <c r="AR69" s="559"/>
    </row>
    <row r="70" spans="1:44" x14ac:dyDescent="0.35">
      <c r="A70">
        <v>64</v>
      </c>
      <c r="B70" s="550">
        <v>0</v>
      </c>
      <c r="C70" s="583">
        <v>45560</v>
      </c>
      <c r="D70" s="584">
        <v>2685</v>
      </c>
      <c r="E70" s="35" t="s">
        <v>943</v>
      </c>
      <c r="F70" s="35" t="s">
        <v>944</v>
      </c>
      <c r="G70" s="550" t="s">
        <v>945</v>
      </c>
      <c r="H70" s="563">
        <v>53.69</v>
      </c>
      <c r="I70" s="1230">
        <v>53.69</v>
      </c>
      <c r="J70" s="579">
        <f t="shared" si="1"/>
        <v>53.69</v>
      </c>
      <c r="K70" s="580">
        <v>0</v>
      </c>
      <c r="L70" s="580"/>
      <c r="M70" s="580"/>
      <c r="N70" s="580"/>
      <c r="O70" s="580"/>
      <c r="P70" s="580"/>
      <c r="Q70" s="580"/>
      <c r="R70" s="580"/>
      <c r="S70" s="580"/>
      <c r="T70" s="580"/>
      <c r="U70" s="580"/>
      <c r="V70" s="563"/>
      <c r="W70" s="581"/>
      <c r="X70" s="581"/>
      <c r="Y70" s="580"/>
      <c r="Z70" s="580"/>
      <c r="AA70" s="580"/>
      <c r="AB70" s="580"/>
      <c r="AC70" s="581"/>
      <c r="AD70" s="580"/>
      <c r="AE70" s="581"/>
      <c r="AF70" s="581"/>
      <c r="AG70" s="581"/>
      <c r="AH70" s="581">
        <v>53.69</v>
      </c>
      <c r="AI70" s="581"/>
      <c r="AJ70" s="580"/>
      <c r="AK70" s="580"/>
      <c r="AL70" s="580"/>
      <c r="AM70" s="580"/>
      <c r="AN70" s="580"/>
      <c r="AO70" s="580"/>
      <c r="AP70" s="580"/>
      <c r="AQ70" s="582"/>
      <c r="AR70" s="559"/>
    </row>
    <row r="71" spans="1:44" x14ac:dyDescent="0.35">
      <c r="A71">
        <v>65</v>
      </c>
      <c r="B71" s="550">
        <v>0</v>
      </c>
      <c r="C71" s="583">
        <v>45560</v>
      </c>
      <c r="D71" s="584">
        <v>2686</v>
      </c>
      <c r="E71" s="35" t="s">
        <v>875</v>
      </c>
      <c r="F71" s="35" t="s">
        <v>946</v>
      </c>
      <c r="G71" s="550" t="s">
        <v>947</v>
      </c>
      <c r="H71" s="563">
        <v>144</v>
      </c>
      <c r="I71" s="1230">
        <v>144</v>
      </c>
      <c r="J71" s="579">
        <f t="shared" ref="J71:J80" si="2">SUM(K71:AQ71)</f>
        <v>144</v>
      </c>
      <c r="K71" s="580">
        <v>0</v>
      </c>
      <c r="L71" s="580"/>
      <c r="M71" s="580"/>
      <c r="N71" s="580"/>
      <c r="O71" s="580"/>
      <c r="P71" s="580"/>
      <c r="Q71" s="580"/>
      <c r="R71" s="580"/>
      <c r="S71" s="580"/>
      <c r="T71" s="580"/>
      <c r="U71" s="580"/>
      <c r="V71" s="563"/>
      <c r="W71" s="581"/>
      <c r="X71" s="581"/>
      <c r="Y71" s="580"/>
      <c r="Z71" s="580"/>
      <c r="AA71" s="580"/>
      <c r="AB71" s="580"/>
      <c r="AC71" s="581"/>
      <c r="AD71" s="580"/>
      <c r="AE71" s="581"/>
      <c r="AF71" s="581">
        <v>144</v>
      </c>
      <c r="AG71" s="581"/>
      <c r="AH71" s="581"/>
      <c r="AI71" s="581"/>
      <c r="AJ71" s="580"/>
      <c r="AK71" s="580"/>
      <c r="AL71" s="580"/>
      <c r="AM71" s="580"/>
      <c r="AN71" s="580"/>
      <c r="AO71" s="580"/>
      <c r="AP71" s="580"/>
      <c r="AQ71" s="582"/>
      <c r="AR71" s="559"/>
    </row>
    <row r="72" spans="1:44" x14ac:dyDescent="0.35">
      <c r="A72">
        <v>66</v>
      </c>
      <c r="B72" s="550">
        <v>0</v>
      </c>
      <c r="C72" s="583">
        <v>45588</v>
      </c>
      <c r="D72" s="584">
        <v>2687</v>
      </c>
      <c r="E72" s="35" t="s">
        <v>791</v>
      </c>
      <c r="F72" s="35" t="s">
        <v>948</v>
      </c>
      <c r="G72" s="550" t="s">
        <v>949</v>
      </c>
      <c r="H72" s="563">
        <v>949.96</v>
      </c>
      <c r="I72" s="1228"/>
      <c r="J72" s="579">
        <f t="shared" si="2"/>
        <v>949.96</v>
      </c>
      <c r="K72" s="580">
        <v>0</v>
      </c>
      <c r="L72" s="580"/>
      <c r="M72" s="580">
        <v>949.96</v>
      </c>
      <c r="N72" s="580"/>
      <c r="O72" s="580"/>
      <c r="P72" s="580"/>
      <c r="Q72" s="580"/>
      <c r="R72" s="580"/>
      <c r="S72" s="580"/>
      <c r="T72" s="580"/>
      <c r="U72" s="580"/>
      <c r="V72" s="563"/>
      <c r="W72" s="581"/>
      <c r="X72" s="581"/>
      <c r="Y72" s="580"/>
      <c r="Z72" s="580"/>
      <c r="AA72" s="580"/>
      <c r="AB72" s="580"/>
      <c r="AC72" s="581"/>
      <c r="AD72" s="580"/>
      <c r="AE72" s="581"/>
      <c r="AF72" s="581"/>
      <c r="AG72" s="581"/>
      <c r="AH72" s="581"/>
      <c r="AI72" s="581"/>
      <c r="AJ72" s="580"/>
      <c r="AK72" s="580"/>
      <c r="AL72" s="580"/>
      <c r="AM72" s="580"/>
      <c r="AN72" s="580"/>
      <c r="AO72" s="580"/>
      <c r="AP72" s="580"/>
      <c r="AQ72" s="582"/>
      <c r="AR72" s="559"/>
    </row>
    <row r="73" spans="1:44" x14ac:dyDescent="0.35">
      <c r="A73" s="552">
        <v>67</v>
      </c>
      <c r="B73" s="550">
        <v>0</v>
      </c>
      <c r="C73" s="583">
        <v>45588</v>
      </c>
      <c r="D73" s="584">
        <v>2687</v>
      </c>
      <c r="E73" s="35" t="s">
        <v>791</v>
      </c>
      <c r="F73" s="35" t="s">
        <v>950</v>
      </c>
      <c r="G73" s="550" t="s">
        <v>949</v>
      </c>
      <c r="H73" s="563">
        <v>53.2</v>
      </c>
      <c r="I73" s="1228"/>
      <c r="J73" s="579">
        <f t="shared" si="2"/>
        <v>53.2</v>
      </c>
      <c r="K73" s="580">
        <v>0</v>
      </c>
      <c r="L73" s="580"/>
      <c r="M73" s="580"/>
      <c r="N73" s="580"/>
      <c r="O73" s="580"/>
      <c r="P73" s="580"/>
      <c r="Q73" s="580"/>
      <c r="R73" s="580"/>
      <c r="S73" s="580"/>
      <c r="T73" s="580">
        <v>26</v>
      </c>
      <c r="U73" s="580">
        <v>27.2</v>
      </c>
      <c r="V73" s="563"/>
      <c r="W73" s="581"/>
      <c r="X73" s="581"/>
      <c r="Y73" s="580"/>
      <c r="Z73" s="580"/>
      <c r="AA73" s="580"/>
      <c r="AB73" s="580"/>
      <c r="AC73" s="581"/>
      <c r="AD73" s="580"/>
      <c r="AE73" s="581"/>
      <c r="AF73" s="581"/>
      <c r="AG73" s="581"/>
      <c r="AH73" s="581"/>
      <c r="AI73" s="581"/>
      <c r="AJ73" s="580"/>
      <c r="AK73" s="580"/>
      <c r="AL73" s="580"/>
      <c r="AM73" s="580"/>
      <c r="AN73" s="580"/>
      <c r="AO73" s="580"/>
      <c r="AP73" s="580"/>
      <c r="AQ73" s="582"/>
      <c r="AR73" s="559"/>
    </row>
    <row r="74" spans="1:44" x14ac:dyDescent="0.35">
      <c r="A74" s="552">
        <v>68</v>
      </c>
      <c r="B74" s="550">
        <v>220430231</v>
      </c>
      <c r="C74" s="583">
        <v>45588</v>
      </c>
      <c r="D74" s="584">
        <v>2687</v>
      </c>
      <c r="E74" s="35" t="s">
        <v>791</v>
      </c>
      <c r="F74" s="35" t="s">
        <v>951</v>
      </c>
      <c r="G74" s="550" t="s">
        <v>949</v>
      </c>
      <c r="H74" s="563">
        <v>16.5</v>
      </c>
      <c r="I74" s="1230">
        <f>SUM(H72:H74)</f>
        <v>1019.6600000000001</v>
      </c>
      <c r="J74" s="579">
        <f t="shared" si="2"/>
        <v>16.5</v>
      </c>
      <c r="K74" s="580">
        <v>2.75</v>
      </c>
      <c r="L74" s="580"/>
      <c r="M74" s="580"/>
      <c r="N74" s="580"/>
      <c r="O74" s="580"/>
      <c r="P74" s="580"/>
      <c r="Q74" s="580"/>
      <c r="R74" s="580"/>
      <c r="S74" s="580"/>
      <c r="T74" s="580"/>
      <c r="U74" s="580">
        <v>13.75</v>
      </c>
      <c r="V74" s="563"/>
      <c r="W74" s="581"/>
      <c r="X74" s="581"/>
      <c r="Y74" s="580"/>
      <c r="Z74" s="580"/>
      <c r="AA74" s="580"/>
      <c r="AB74" s="580"/>
      <c r="AC74" s="581"/>
      <c r="AD74" s="580"/>
      <c r="AE74" s="581"/>
      <c r="AF74" s="581"/>
      <c r="AG74" s="581"/>
      <c r="AH74" s="581"/>
      <c r="AI74" s="581"/>
      <c r="AJ74" s="580"/>
      <c r="AK74" s="580"/>
      <c r="AL74" s="580"/>
      <c r="AM74" s="580"/>
      <c r="AN74" s="580"/>
      <c r="AO74" s="580"/>
      <c r="AP74" s="580"/>
      <c r="AQ74" s="582"/>
      <c r="AR74" s="559"/>
    </row>
    <row r="75" spans="1:44" x14ac:dyDescent="0.35">
      <c r="A75" s="552">
        <v>69</v>
      </c>
      <c r="B75" s="550">
        <v>0</v>
      </c>
      <c r="C75" s="583">
        <v>45588</v>
      </c>
      <c r="D75" s="584">
        <v>2688</v>
      </c>
      <c r="E75" s="35" t="s">
        <v>796</v>
      </c>
      <c r="F75" s="35" t="s">
        <v>952</v>
      </c>
      <c r="G75" s="550" t="s">
        <v>953</v>
      </c>
      <c r="H75" s="563">
        <v>332.82</v>
      </c>
      <c r="I75" s="1230">
        <v>332.82</v>
      </c>
      <c r="J75" s="579">
        <f t="shared" si="2"/>
        <v>332.82</v>
      </c>
      <c r="K75" s="580">
        <v>0</v>
      </c>
      <c r="L75" s="580"/>
      <c r="M75" s="580">
        <v>260.64</v>
      </c>
      <c r="N75" s="580">
        <v>72.180000000000007</v>
      </c>
      <c r="O75" s="580"/>
      <c r="P75" s="580"/>
      <c r="Q75" s="580"/>
      <c r="R75" s="580"/>
      <c r="S75" s="580"/>
      <c r="T75" s="580"/>
      <c r="U75" s="580"/>
      <c r="V75" s="563"/>
      <c r="W75" s="581"/>
      <c r="X75" s="581"/>
      <c r="Y75" s="580"/>
      <c r="Z75" s="580"/>
      <c r="AA75" s="580"/>
      <c r="AB75" s="580"/>
      <c r="AC75" s="581"/>
      <c r="AD75" s="580"/>
      <c r="AE75" s="581"/>
      <c r="AF75" s="581"/>
      <c r="AG75" s="581"/>
      <c r="AH75" s="581"/>
      <c r="AI75" s="581"/>
      <c r="AJ75" s="580"/>
      <c r="AK75" s="580"/>
      <c r="AL75" s="580"/>
      <c r="AM75" s="580"/>
      <c r="AN75" s="580"/>
      <c r="AO75" s="580"/>
      <c r="AP75" s="580"/>
      <c r="AQ75" s="582"/>
      <c r="AR75" s="559"/>
    </row>
    <row r="76" spans="1:44" x14ac:dyDescent="0.35">
      <c r="A76">
        <v>70</v>
      </c>
      <c r="B76" s="550">
        <v>0</v>
      </c>
      <c r="C76" s="583">
        <v>45588</v>
      </c>
      <c r="D76" s="584">
        <v>2689</v>
      </c>
      <c r="E76" s="35" t="s">
        <v>799</v>
      </c>
      <c r="F76" s="35" t="s">
        <v>954</v>
      </c>
      <c r="G76" s="550" t="s">
        <v>955</v>
      </c>
      <c r="H76" s="563">
        <v>356.14</v>
      </c>
      <c r="I76" s="1230">
        <v>356.14</v>
      </c>
      <c r="J76" s="579">
        <f t="shared" si="2"/>
        <v>356.14</v>
      </c>
      <c r="K76" s="580">
        <v>0</v>
      </c>
      <c r="L76" s="580"/>
      <c r="M76" s="580">
        <v>70.459999999999994</v>
      </c>
      <c r="N76" s="580"/>
      <c r="O76" s="580">
        <v>285.68</v>
      </c>
      <c r="P76" s="580"/>
      <c r="Q76" s="580"/>
      <c r="R76" s="580"/>
      <c r="S76" s="580"/>
      <c r="T76" s="580"/>
      <c r="U76" s="580"/>
      <c r="V76" s="563"/>
      <c r="W76" s="581"/>
      <c r="X76" s="581"/>
      <c r="Y76" s="580"/>
      <c r="Z76" s="580"/>
      <c r="AA76" s="580"/>
      <c r="AB76" s="580"/>
      <c r="AC76" s="581"/>
      <c r="AD76" s="580"/>
      <c r="AE76" s="581"/>
      <c r="AF76" s="581"/>
      <c r="AG76" s="581"/>
      <c r="AH76" s="581"/>
      <c r="AI76" s="581"/>
      <c r="AJ76" s="580"/>
      <c r="AK76" s="580"/>
      <c r="AL76" s="580"/>
      <c r="AM76" s="580"/>
      <c r="AN76" s="580"/>
      <c r="AO76" s="580"/>
      <c r="AP76" s="580"/>
      <c r="AQ76" s="582"/>
      <c r="AR76" s="559"/>
    </row>
    <row r="77" spans="1:44" x14ac:dyDescent="0.35">
      <c r="A77" s="552">
        <v>71</v>
      </c>
      <c r="B77" s="550">
        <v>0</v>
      </c>
      <c r="C77" s="583">
        <v>45588</v>
      </c>
      <c r="D77" s="584">
        <v>2690</v>
      </c>
      <c r="E77" s="35" t="s">
        <v>939</v>
      </c>
      <c r="F77" s="35" t="s">
        <v>979</v>
      </c>
      <c r="G77" s="550" t="s">
        <v>956</v>
      </c>
      <c r="H77" s="563">
        <v>175</v>
      </c>
      <c r="I77" s="1230">
        <v>175</v>
      </c>
      <c r="J77" s="579">
        <f t="shared" si="2"/>
        <v>175</v>
      </c>
      <c r="K77" s="580">
        <v>0</v>
      </c>
      <c r="L77" s="580"/>
      <c r="M77" s="580"/>
      <c r="N77" s="580"/>
      <c r="O77" s="580"/>
      <c r="P77" s="580"/>
      <c r="Q77" s="580"/>
      <c r="R77" s="580"/>
      <c r="S77" s="580"/>
      <c r="T77" s="580"/>
      <c r="U77" s="580"/>
      <c r="V77" s="563"/>
      <c r="W77" s="581"/>
      <c r="X77" s="581"/>
      <c r="Y77" s="580"/>
      <c r="Z77" s="580"/>
      <c r="AA77" s="580"/>
      <c r="AB77" s="580"/>
      <c r="AC77" s="581">
        <v>175</v>
      </c>
      <c r="AD77" s="580"/>
      <c r="AE77" s="581"/>
      <c r="AF77" s="581"/>
      <c r="AG77" s="581"/>
      <c r="AH77" s="581"/>
      <c r="AI77" s="581"/>
      <c r="AJ77" s="580"/>
      <c r="AK77" s="580"/>
      <c r="AL77" s="580"/>
      <c r="AM77" s="580"/>
      <c r="AN77" s="580"/>
      <c r="AO77" s="580"/>
      <c r="AP77" s="580"/>
      <c r="AQ77" s="582"/>
      <c r="AR77" s="559"/>
    </row>
    <row r="78" spans="1:44" x14ac:dyDescent="0.35">
      <c r="A78" s="552">
        <v>72</v>
      </c>
      <c r="B78" s="550">
        <v>0</v>
      </c>
      <c r="C78" s="583">
        <v>45588</v>
      </c>
      <c r="D78" s="584" t="s">
        <v>810</v>
      </c>
      <c r="E78" s="35" t="s">
        <v>957</v>
      </c>
      <c r="F78" s="35" t="s">
        <v>958</v>
      </c>
      <c r="G78" s="550" t="s">
        <v>959</v>
      </c>
      <c r="H78" s="563">
        <v>35</v>
      </c>
      <c r="I78" s="1230">
        <v>35</v>
      </c>
      <c r="J78" s="579">
        <f t="shared" si="2"/>
        <v>35</v>
      </c>
      <c r="K78" s="580">
        <v>0</v>
      </c>
      <c r="L78" s="580"/>
      <c r="M78" s="580"/>
      <c r="N78" s="580"/>
      <c r="O78" s="580"/>
      <c r="P78" s="580"/>
      <c r="Q78" s="580"/>
      <c r="R78" s="580"/>
      <c r="S78" s="580"/>
      <c r="T78" s="580"/>
      <c r="U78" s="580"/>
      <c r="V78" s="563">
        <v>35</v>
      </c>
      <c r="W78" s="581"/>
      <c r="X78" s="581"/>
      <c r="Y78" s="580"/>
      <c r="Z78" s="580"/>
      <c r="AA78" s="580"/>
      <c r="AB78" s="580"/>
      <c r="AC78" s="581"/>
      <c r="AD78" s="580"/>
      <c r="AE78" s="581"/>
      <c r="AF78" s="581"/>
      <c r="AG78" s="581"/>
      <c r="AH78" s="581"/>
      <c r="AI78" s="581"/>
      <c r="AJ78" s="580"/>
      <c r="AK78" s="580"/>
      <c r="AL78" s="580"/>
      <c r="AM78" s="580"/>
      <c r="AN78" s="580"/>
      <c r="AO78" s="580"/>
      <c r="AP78" s="580"/>
      <c r="AQ78" s="582"/>
      <c r="AR78" s="559"/>
    </row>
    <row r="79" spans="1:44" x14ac:dyDescent="0.35">
      <c r="A79" s="552">
        <v>73</v>
      </c>
      <c r="B79" s="550">
        <v>0</v>
      </c>
      <c r="C79" s="583">
        <v>45588</v>
      </c>
      <c r="D79" s="584">
        <v>2691</v>
      </c>
      <c r="E79" s="35" t="s">
        <v>960</v>
      </c>
      <c r="F79" s="35" t="s">
        <v>961</v>
      </c>
      <c r="G79" s="550" t="s">
        <v>962</v>
      </c>
      <c r="H79" s="563">
        <v>500</v>
      </c>
      <c r="I79" s="1230">
        <v>500</v>
      </c>
      <c r="J79" s="579">
        <f t="shared" si="2"/>
        <v>500</v>
      </c>
      <c r="K79" s="580">
        <v>0</v>
      </c>
      <c r="L79" s="580"/>
      <c r="M79" s="580"/>
      <c r="N79" s="580"/>
      <c r="O79" s="580"/>
      <c r="P79" s="580"/>
      <c r="Q79" s="580"/>
      <c r="R79" s="580"/>
      <c r="S79" s="580"/>
      <c r="T79" s="580"/>
      <c r="U79" s="580"/>
      <c r="V79" s="563"/>
      <c r="W79" s="581"/>
      <c r="X79" s="581"/>
      <c r="Y79" s="580"/>
      <c r="Z79" s="580"/>
      <c r="AA79" s="580"/>
      <c r="AB79" s="580"/>
      <c r="AC79" s="581"/>
      <c r="AD79" s="580"/>
      <c r="AE79" s="581"/>
      <c r="AF79" s="581"/>
      <c r="AG79" s="581"/>
      <c r="AH79" s="581"/>
      <c r="AI79" s="581"/>
      <c r="AJ79" s="580"/>
      <c r="AK79" s="580"/>
      <c r="AL79" s="580"/>
      <c r="AM79" s="580"/>
      <c r="AN79" s="580">
        <v>500</v>
      </c>
      <c r="AO79" s="580"/>
      <c r="AP79" s="580"/>
      <c r="AQ79" s="582"/>
      <c r="AR79" s="559"/>
    </row>
    <row r="80" spans="1:44" x14ac:dyDescent="0.35">
      <c r="A80">
        <v>74</v>
      </c>
      <c r="B80" s="550">
        <v>0</v>
      </c>
      <c r="C80" s="583">
        <v>45588</v>
      </c>
      <c r="D80" s="584">
        <v>2692</v>
      </c>
      <c r="E80" s="35" t="s">
        <v>975</v>
      </c>
      <c r="F80" s="35" t="s">
        <v>1144</v>
      </c>
      <c r="G80" s="1" t="s">
        <v>976</v>
      </c>
      <c r="H80" s="563">
        <v>0</v>
      </c>
      <c r="I80" s="1230">
        <v>0</v>
      </c>
      <c r="J80" s="579">
        <f t="shared" si="2"/>
        <v>0</v>
      </c>
      <c r="K80" s="580">
        <v>0</v>
      </c>
      <c r="L80" s="580"/>
      <c r="M80" s="580"/>
      <c r="N80" s="580"/>
      <c r="O80" s="580"/>
      <c r="P80" s="580"/>
      <c r="Q80" s="580"/>
      <c r="R80" s="580"/>
      <c r="S80" s="580"/>
      <c r="T80" s="580"/>
      <c r="U80" s="580"/>
      <c r="V80" s="563"/>
      <c r="W80" s="581"/>
      <c r="X80" s="581"/>
      <c r="Y80" s="580"/>
      <c r="Z80" s="580"/>
      <c r="AA80" s="580"/>
      <c r="AB80" s="580"/>
      <c r="AC80" s="581"/>
      <c r="AD80" s="580"/>
      <c r="AE80" s="581"/>
      <c r="AF80" s="581"/>
      <c r="AG80" s="581"/>
      <c r="AH80" s="581"/>
      <c r="AI80" s="581"/>
      <c r="AJ80" s="580"/>
      <c r="AK80" s="580"/>
      <c r="AL80" s="580"/>
      <c r="AM80" s="580"/>
      <c r="AN80" s="580"/>
      <c r="AO80" s="580"/>
      <c r="AP80" s="580"/>
      <c r="AQ80" s="582"/>
      <c r="AR80" s="559"/>
    </row>
    <row r="81" spans="1:44" x14ac:dyDescent="0.35">
      <c r="A81">
        <v>75</v>
      </c>
      <c r="B81" s="550">
        <v>0</v>
      </c>
      <c r="C81" s="583">
        <v>45588</v>
      </c>
      <c r="D81" s="584">
        <v>2693</v>
      </c>
      <c r="E81" s="35" t="s">
        <v>875</v>
      </c>
      <c r="F81" s="35" t="s">
        <v>977</v>
      </c>
      <c r="G81" s="1" t="s">
        <v>978</v>
      </c>
      <c r="H81" s="563">
        <v>96</v>
      </c>
      <c r="I81" s="1230">
        <v>96</v>
      </c>
      <c r="J81" s="579">
        <f t="shared" ref="J81:J112" si="3">SUM(K81:AQ81)</f>
        <v>96</v>
      </c>
      <c r="K81" s="580">
        <v>0</v>
      </c>
      <c r="L81" s="580"/>
      <c r="M81" s="580"/>
      <c r="N81" s="580"/>
      <c r="O81" s="580"/>
      <c r="P81" s="580"/>
      <c r="Q81" s="580"/>
      <c r="R81" s="580"/>
      <c r="S81" s="580"/>
      <c r="T81" s="580"/>
      <c r="U81" s="580"/>
      <c r="V81" s="563"/>
      <c r="W81" s="581"/>
      <c r="X81" s="581"/>
      <c r="Y81" s="580"/>
      <c r="Z81" s="580"/>
      <c r="AA81" s="580"/>
      <c r="AB81" s="580"/>
      <c r="AC81" s="581"/>
      <c r="AD81" s="580"/>
      <c r="AE81" s="581"/>
      <c r="AF81" s="581">
        <v>96</v>
      </c>
      <c r="AG81" s="581"/>
      <c r="AH81" s="581"/>
      <c r="AI81" s="581"/>
      <c r="AJ81" s="580"/>
      <c r="AK81" s="580"/>
      <c r="AL81" s="580"/>
      <c r="AM81" s="580"/>
      <c r="AN81" s="580"/>
      <c r="AO81" s="580"/>
      <c r="AP81" s="580"/>
      <c r="AQ81" s="582"/>
      <c r="AR81" s="559"/>
    </row>
    <row r="82" spans="1:44" x14ac:dyDescent="0.35">
      <c r="A82">
        <v>76</v>
      </c>
      <c r="B82" s="550">
        <v>0</v>
      </c>
      <c r="C82" s="583">
        <v>45616</v>
      </c>
      <c r="D82" s="584">
        <v>2694</v>
      </c>
      <c r="E82" s="35" t="s">
        <v>791</v>
      </c>
      <c r="F82" s="35" t="s">
        <v>980</v>
      </c>
      <c r="G82" s="1" t="s">
        <v>981</v>
      </c>
      <c r="H82" s="563">
        <v>1167.56</v>
      </c>
      <c r="I82" s="1228"/>
      <c r="J82" s="579">
        <f t="shared" si="3"/>
        <v>1167.56</v>
      </c>
      <c r="K82" s="580">
        <v>0</v>
      </c>
      <c r="L82" s="580"/>
      <c r="M82" s="580">
        <v>1167.56</v>
      </c>
      <c r="N82" s="580"/>
      <c r="O82" s="580"/>
      <c r="P82" s="580"/>
      <c r="Q82" s="580"/>
      <c r="R82" s="580"/>
      <c r="S82" s="580"/>
      <c r="T82" s="580"/>
      <c r="U82" s="580"/>
      <c r="V82" s="563"/>
      <c r="W82" s="581"/>
      <c r="X82" s="581"/>
      <c r="Y82" s="580"/>
      <c r="Z82" s="580"/>
      <c r="AA82" s="580"/>
      <c r="AB82" s="580"/>
      <c r="AC82" s="581"/>
      <c r="AD82" s="580"/>
      <c r="AE82" s="581"/>
      <c r="AF82" s="581"/>
      <c r="AG82" s="581"/>
      <c r="AH82" s="581"/>
      <c r="AI82" s="581"/>
      <c r="AJ82" s="580"/>
      <c r="AK82" s="580"/>
      <c r="AL82" s="580"/>
      <c r="AM82" s="580"/>
      <c r="AN82" s="580"/>
      <c r="AO82" s="580"/>
      <c r="AP82" s="580"/>
      <c r="AQ82" s="582"/>
      <c r="AR82" s="559"/>
    </row>
    <row r="83" spans="1:44" x14ac:dyDescent="0.35">
      <c r="A83" s="552">
        <v>77</v>
      </c>
      <c r="B83" s="550">
        <v>240800405</v>
      </c>
      <c r="C83" s="583">
        <v>45616</v>
      </c>
      <c r="D83" s="584">
        <v>2694</v>
      </c>
      <c r="E83" s="35" t="s">
        <v>791</v>
      </c>
      <c r="F83" s="35" t="s">
        <v>982</v>
      </c>
      <c r="G83" s="1" t="s">
        <v>981</v>
      </c>
      <c r="H83" s="563">
        <v>127.5</v>
      </c>
      <c r="I83" s="1228"/>
      <c r="J83" s="579">
        <f t="shared" si="3"/>
        <v>127.5</v>
      </c>
      <c r="K83" s="580">
        <v>8.75</v>
      </c>
      <c r="L83" s="580"/>
      <c r="M83" s="580"/>
      <c r="N83" s="580"/>
      <c r="O83" s="580"/>
      <c r="P83" s="580"/>
      <c r="Q83" s="580"/>
      <c r="R83" s="580"/>
      <c r="S83" s="580"/>
      <c r="T83" s="580"/>
      <c r="U83" s="580"/>
      <c r="V83" s="563"/>
      <c r="W83" s="581"/>
      <c r="X83" s="581"/>
      <c r="Y83" s="580"/>
      <c r="Z83" s="580"/>
      <c r="AA83" s="580"/>
      <c r="AB83" s="580"/>
      <c r="AC83" s="581"/>
      <c r="AD83" s="580"/>
      <c r="AE83" s="581"/>
      <c r="AF83" s="581"/>
      <c r="AG83" s="581"/>
      <c r="AH83" s="581"/>
      <c r="AI83" s="581"/>
      <c r="AJ83" s="580"/>
      <c r="AK83" s="580"/>
      <c r="AL83" s="580"/>
      <c r="AM83" s="580"/>
      <c r="AN83" s="580">
        <v>118.75</v>
      </c>
      <c r="AO83" s="580"/>
      <c r="AP83" s="580"/>
      <c r="AQ83" s="582"/>
      <c r="AR83" s="559" t="s">
        <v>983</v>
      </c>
    </row>
    <row r="84" spans="1:44" x14ac:dyDescent="0.35">
      <c r="A84" s="552">
        <v>78</v>
      </c>
      <c r="C84" s="583">
        <v>45616</v>
      </c>
      <c r="D84" s="584">
        <v>2694</v>
      </c>
      <c r="E84" s="35" t="s">
        <v>791</v>
      </c>
      <c r="F84" s="35" t="s">
        <v>984</v>
      </c>
      <c r="G84" s="1" t="s">
        <v>981</v>
      </c>
      <c r="H84" s="563">
        <v>26</v>
      </c>
      <c r="I84" s="1230">
        <f>SUM(H82:H84)</f>
        <v>1321.06</v>
      </c>
      <c r="J84" s="579">
        <f t="shared" si="3"/>
        <v>26</v>
      </c>
      <c r="K84" s="580">
        <v>0</v>
      </c>
      <c r="L84" s="580"/>
      <c r="M84" s="580"/>
      <c r="N84" s="580"/>
      <c r="O84" s="580"/>
      <c r="P84" s="580"/>
      <c r="Q84" s="580"/>
      <c r="R84" s="580"/>
      <c r="S84" s="580"/>
      <c r="T84" s="580">
        <v>26</v>
      </c>
      <c r="U84" s="580"/>
      <c r="V84" s="563"/>
      <c r="W84" s="581"/>
      <c r="X84" s="581"/>
      <c r="Y84" s="580"/>
      <c r="Z84" s="580"/>
      <c r="AA84" s="580"/>
      <c r="AB84" s="580"/>
      <c r="AC84" s="581"/>
      <c r="AD84" s="580"/>
      <c r="AE84" s="581"/>
      <c r="AF84" s="581"/>
      <c r="AG84" s="581"/>
      <c r="AH84" s="581"/>
      <c r="AI84" s="581"/>
      <c r="AJ84" s="580"/>
      <c r="AK84" s="580"/>
      <c r="AL84" s="580"/>
      <c r="AM84" s="580"/>
      <c r="AN84" s="580"/>
      <c r="AO84" s="580"/>
      <c r="AP84" s="580"/>
      <c r="AQ84" s="582"/>
      <c r="AR84" s="559"/>
    </row>
    <row r="85" spans="1:44" x14ac:dyDescent="0.35">
      <c r="A85" s="552">
        <v>79</v>
      </c>
      <c r="C85" s="583">
        <v>45616</v>
      </c>
      <c r="D85" s="584" t="s">
        <v>992</v>
      </c>
      <c r="E85" s="35" t="s">
        <v>851</v>
      </c>
      <c r="F85" s="35" t="s">
        <v>985</v>
      </c>
      <c r="G85" s="1" t="s">
        <v>981</v>
      </c>
      <c r="H85" s="563">
        <v>-75</v>
      </c>
      <c r="I85" s="1230">
        <v>-75</v>
      </c>
      <c r="J85" s="579">
        <f t="shared" si="3"/>
        <v>-75</v>
      </c>
      <c r="K85" s="580">
        <v>0</v>
      </c>
      <c r="L85" s="580"/>
      <c r="M85" s="580"/>
      <c r="N85" s="580"/>
      <c r="O85" s="580"/>
      <c r="P85" s="580"/>
      <c r="Q85" s="580"/>
      <c r="R85" s="580"/>
      <c r="S85" s="580"/>
      <c r="T85" s="580"/>
      <c r="U85" s="580"/>
      <c r="V85" s="563"/>
      <c r="W85" s="581"/>
      <c r="X85" s="581"/>
      <c r="Y85" s="580"/>
      <c r="Z85" s="580"/>
      <c r="AA85" s="580"/>
      <c r="AB85" s="580"/>
      <c r="AC85" s="581"/>
      <c r="AD85" s="580"/>
      <c r="AE85" s="581"/>
      <c r="AF85" s="581"/>
      <c r="AG85" s="581"/>
      <c r="AH85" s="581"/>
      <c r="AI85" s="581"/>
      <c r="AJ85" s="580"/>
      <c r="AK85" s="580"/>
      <c r="AL85" s="580"/>
      <c r="AM85" s="580"/>
      <c r="AN85" s="580">
        <v>-75</v>
      </c>
      <c r="AO85" s="580"/>
      <c r="AP85" s="580"/>
      <c r="AQ85" s="582"/>
      <c r="AR85" s="559"/>
    </row>
    <row r="86" spans="1:44" x14ac:dyDescent="0.35">
      <c r="A86">
        <v>80</v>
      </c>
      <c r="C86" s="583">
        <v>45616</v>
      </c>
      <c r="D86" s="584">
        <v>2695</v>
      </c>
      <c r="E86" s="35" t="s">
        <v>796</v>
      </c>
      <c r="F86" s="35" t="s">
        <v>986</v>
      </c>
      <c r="G86" s="1" t="s">
        <v>987</v>
      </c>
      <c r="H86" s="563">
        <v>464.04</v>
      </c>
      <c r="I86" s="1230">
        <v>464.04</v>
      </c>
      <c r="J86" s="579">
        <f t="shared" si="3"/>
        <v>464.04</v>
      </c>
      <c r="K86" s="580">
        <v>0</v>
      </c>
      <c r="L86" s="580"/>
      <c r="M86" s="580">
        <v>347.41</v>
      </c>
      <c r="N86" s="580">
        <v>116.63</v>
      </c>
      <c r="O86" s="580"/>
      <c r="P86" s="580"/>
      <c r="Q86" s="580"/>
      <c r="R86" s="580"/>
      <c r="S86" s="580"/>
      <c r="T86" s="580"/>
      <c r="U86" s="580"/>
      <c r="V86" s="563"/>
      <c r="W86" s="581"/>
      <c r="X86" s="581"/>
      <c r="Y86" s="580"/>
      <c r="Z86" s="580"/>
      <c r="AA86" s="580"/>
      <c r="AB86" s="580"/>
      <c r="AC86" s="581"/>
      <c r="AD86" s="580"/>
      <c r="AE86" s="581"/>
      <c r="AF86" s="581"/>
      <c r="AG86" s="581"/>
      <c r="AH86" s="581"/>
      <c r="AI86" s="581"/>
      <c r="AJ86" s="580"/>
      <c r="AK86" s="580"/>
      <c r="AL86" s="580"/>
      <c r="AM86" s="580"/>
      <c r="AN86" s="580"/>
      <c r="AO86" s="580"/>
      <c r="AP86" s="580"/>
      <c r="AQ86" s="582"/>
      <c r="AR86" s="559"/>
    </row>
    <row r="87" spans="1:44" x14ac:dyDescent="0.35">
      <c r="A87" s="552">
        <v>81</v>
      </c>
      <c r="C87" s="583">
        <v>45616</v>
      </c>
      <c r="D87" s="584">
        <v>2696</v>
      </c>
      <c r="E87" s="35" t="s">
        <v>799</v>
      </c>
      <c r="F87" s="35" t="s">
        <v>988</v>
      </c>
      <c r="G87" s="1" t="s">
        <v>989</v>
      </c>
      <c r="H87" s="563">
        <v>445.67</v>
      </c>
      <c r="I87" s="1230">
        <v>445.67</v>
      </c>
      <c r="J87" s="579">
        <f t="shared" si="3"/>
        <v>445.67</v>
      </c>
      <c r="K87" s="580">
        <v>0</v>
      </c>
      <c r="L87" s="580"/>
      <c r="M87" s="580">
        <v>88.17</v>
      </c>
      <c r="N87" s="580"/>
      <c r="O87" s="580">
        <v>357.5</v>
      </c>
      <c r="P87" s="580"/>
      <c r="Q87" s="580"/>
      <c r="R87" s="580"/>
      <c r="S87" s="580"/>
      <c r="T87" s="580"/>
      <c r="U87" s="580"/>
      <c r="V87" s="563"/>
      <c r="W87" s="581"/>
      <c r="X87" s="581"/>
      <c r="Y87" s="580"/>
      <c r="Z87" s="580"/>
      <c r="AA87" s="580"/>
      <c r="AB87" s="580"/>
      <c r="AC87" s="581"/>
      <c r="AD87" s="580"/>
      <c r="AE87" s="581"/>
      <c r="AF87" s="581"/>
      <c r="AG87" s="581"/>
      <c r="AH87" s="581"/>
      <c r="AI87" s="581"/>
      <c r="AJ87" s="580"/>
      <c r="AK87" s="580"/>
      <c r="AL87" s="580"/>
      <c r="AM87" s="580"/>
      <c r="AN87" s="580"/>
      <c r="AO87" s="580"/>
      <c r="AP87" s="580"/>
      <c r="AQ87" s="582"/>
      <c r="AR87" s="559"/>
    </row>
    <row r="88" spans="1:44" x14ac:dyDescent="0.35">
      <c r="A88" s="552">
        <v>82</v>
      </c>
      <c r="C88" s="583">
        <v>45616</v>
      </c>
      <c r="D88" s="584">
        <v>2697</v>
      </c>
      <c r="E88" s="35" t="s">
        <v>791</v>
      </c>
      <c r="F88" s="35" t="s">
        <v>990</v>
      </c>
      <c r="G88" s="1" t="s">
        <v>991</v>
      </c>
      <c r="H88" s="563">
        <v>976.99</v>
      </c>
      <c r="I88" s="1228"/>
      <c r="J88" s="579">
        <f t="shared" si="3"/>
        <v>976.99</v>
      </c>
      <c r="K88" s="580">
        <v>0</v>
      </c>
      <c r="L88" s="580"/>
      <c r="M88" s="580">
        <v>976.99</v>
      </c>
      <c r="N88" s="580"/>
      <c r="O88" s="580"/>
      <c r="P88" s="580"/>
      <c r="Q88" s="580"/>
      <c r="R88" s="580"/>
      <c r="S88" s="580"/>
      <c r="T88" s="580"/>
      <c r="U88" s="580"/>
      <c r="V88" s="563"/>
      <c r="W88" s="581"/>
      <c r="X88" s="581"/>
      <c r="Y88" s="580"/>
      <c r="Z88" s="580"/>
      <c r="AA88" s="580"/>
      <c r="AB88" s="580"/>
      <c r="AC88" s="581"/>
      <c r="AD88" s="580"/>
      <c r="AE88" s="581"/>
      <c r="AF88" s="581"/>
      <c r="AG88" s="581"/>
      <c r="AH88" s="581"/>
      <c r="AI88" s="581"/>
      <c r="AJ88" s="580"/>
      <c r="AK88" s="580"/>
      <c r="AL88" s="580"/>
      <c r="AM88" s="580"/>
      <c r="AN88" s="580"/>
      <c r="AO88" s="580"/>
      <c r="AP88" s="580"/>
      <c r="AQ88" s="582"/>
      <c r="AR88" s="559"/>
    </row>
    <row r="89" spans="1:44" x14ac:dyDescent="0.35">
      <c r="A89" s="552">
        <v>83</v>
      </c>
      <c r="C89" s="583">
        <v>45616</v>
      </c>
      <c r="D89" s="584">
        <v>2697</v>
      </c>
      <c r="E89" s="35" t="s">
        <v>791</v>
      </c>
      <c r="F89" s="35" t="s">
        <v>993</v>
      </c>
      <c r="G89" s="1" t="s">
        <v>991</v>
      </c>
      <c r="H89" s="563">
        <v>26</v>
      </c>
      <c r="I89" s="1230">
        <f>SUM(H88:H89)</f>
        <v>1002.99</v>
      </c>
      <c r="J89" s="579">
        <f t="shared" si="3"/>
        <v>26</v>
      </c>
      <c r="K89" s="580">
        <v>0</v>
      </c>
      <c r="L89" s="580"/>
      <c r="M89" s="580"/>
      <c r="N89" s="580"/>
      <c r="O89" s="580"/>
      <c r="P89" s="580"/>
      <c r="Q89" s="580"/>
      <c r="R89" s="580"/>
      <c r="S89" s="580"/>
      <c r="T89" s="580">
        <v>26</v>
      </c>
      <c r="U89" s="580"/>
      <c r="V89" s="563"/>
      <c r="W89" s="581"/>
      <c r="X89" s="581"/>
      <c r="Y89" s="580"/>
      <c r="Z89" s="580"/>
      <c r="AA89" s="580"/>
      <c r="AB89" s="580"/>
      <c r="AC89" s="581"/>
      <c r="AD89" s="580"/>
      <c r="AE89" s="581"/>
      <c r="AF89" s="581"/>
      <c r="AG89" s="581"/>
      <c r="AH89" s="581"/>
      <c r="AI89" s="581"/>
      <c r="AJ89" s="580"/>
      <c r="AK89" s="580"/>
      <c r="AL89" s="580"/>
      <c r="AM89" s="580"/>
      <c r="AN89" s="580"/>
      <c r="AO89" s="580"/>
      <c r="AP89" s="580"/>
      <c r="AQ89" s="582"/>
      <c r="AR89" s="559"/>
    </row>
    <row r="90" spans="1:44" x14ac:dyDescent="0.35">
      <c r="A90">
        <v>84</v>
      </c>
      <c r="C90" s="583">
        <v>45616</v>
      </c>
      <c r="D90" s="584">
        <v>2698</v>
      </c>
      <c r="E90" s="35" t="s">
        <v>796</v>
      </c>
      <c r="F90" s="35" t="s">
        <v>994</v>
      </c>
      <c r="G90" s="1" t="s">
        <v>995</v>
      </c>
      <c r="H90" s="563">
        <v>349.4</v>
      </c>
      <c r="I90" s="1230">
        <v>349.4</v>
      </c>
      <c r="J90" s="579">
        <f t="shared" si="3"/>
        <v>349.40000000000003</v>
      </c>
      <c r="K90" s="580">
        <v>0</v>
      </c>
      <c r="L90" s="580"/>
      <c r="M90" s="580">
        <v>271.66000000000003</v>
      </c>
      <c r="N90" s="580">
        <v>77.739999999999995</v>
      </c>
      <c r="O90" s="580"/>
      <c r="P90" s="580"/>
      <c r="Q90" s="580"/>
      <c r="R90" s="580"/>
      <c r="S90" s="580"/>
      <c r="T90" s="580"/>
      <c r="U90" s="580"/>
      <c r="V90" s="563"/>
      <c r="W90" s="581"/>
      <c r="X90" s="581"/>
      <c r="Y90" s="580"/>
      <c r="Z90" s="580"/>
      <c r="AA90" s="580"/>
      <c r="AB90" s="580"/>
      <c r="AC90" s="581"/>
      <c r="AD90" s="580"/>
      <c r="AE90" s="581"/>
      <c r="AF90" s="581"/>
      <c r="AG90" s="581"/>
      <c r="AH90" s="581"/>
      <c r="AI90" s="581"/>
      <c r="AJ90" s="580"/>
      <c r="AK90" s="580"/>
      <c r="AL90" s="580"/>
      <c r="AM90" s="580"/>
      <c r="AN90" s="580"/>
      <c r="AO90" s="580"/>
      <c r="AP90" s="580"/>
      <c r="AQ90" s="582"/>
      <c r="AR90" s="559"/>
    </row>
    <row r="91" spans="1:44" x14ac:dyDescent="0.35">
      <c r="A91">
        <v>85</v>
      </c>
      <c r="C91" s="583">
        <v>45616</v>
      </c>
      <c r="D91" s="584">
        <v>2699</v>
      </c>
      <c r="E91" s="35" t="s">
        <v>799</v>
      </c>
      <c r="F91" s="35" t="s">
        <v>996</v>
      </c>
      <c r="G91" s="1" t="s">
        <v>997</v>
      </c>
      <c r="H91" s="563">
        <v>367.32</v>
      </c>
      <c r="I91" s="1230">
        <v>367.32</v>
      </c>
      <c r="J91" s="579">
        <f t="shared" si="3"/>
        <v>367.32</v>
      </c>
      <c r="K91" s="580">
        <v>0</v>
      </c>
      <c r="L91" s="580"/>
      <c r="M91" s="580">
        <v>72.67</v>
      </c>
      <c r="N91" s="580"/>
      <c r="O91" s="580">
        <v>294.64999999999998</v>
      </c>
      <c r="P91" s="580"/>
      <c r="Q91" s="580"/>
      <c r="R91" s="580"/>
      <c r="S91" s="580"/>
      <c r="T91" s="580"/>
      <c r="U91" s="580"/>
      <c r="V91" s="563"/>
      <c r="W91" s="581"/>
      <c r="X91" s="581"/>
      <c r="Y91" s="580"/>
      <c r="Z91" s="580"/>
      <c r="AA91" s="580"/>
      <c r="AB91" s="580"/>
      <c r="AC91" s="581"/>
      <c r="AD91" s="580"/>
      <c r="AE91" s="581"/>
      <c r="AF91" s="581"/>
      <c r="AG91" s="581"/>
      <c r="AH91" s="581"/>
      <c r="AI91" s="581"/>
      <c r="AJ91" s="580"/>
      <c r="AK91" s="580"/>
      <c r="AL91" s="580"/>
      <c r="AM91" s="580"/>
      <c r="AN91" s="580"/>
      <c r="AO91" s="580"/>
      <c r="AP91" s="580"/>
      <c r="AQ91" s="582"/>
      <c r="AR91" s="559"/>
    </row>
    <row r="92" spans="1:44" x14ac:dyDescent="0.35">
      <c r="A92">
        <v>86</v>
      </c>
      <c r="C92" s="583">
        <v>45616</v>
      </c>
      <c r="D92" s="584">
        <v>2700</v>
      </c>
      <c r="E92" s="35" t="s">
        <v>851</v>
      </c>
      <c r="F92" s="35" t="s">
        <v>1004</v>
      </c>
      <c r="G92" s="1" t="s">
        <v>998</v>
      </c>
      <c r="H92" s="563">
        <v>40</v>
      </c>
      <c r="I92" s="1230">
        <v>40</v>
      </c>
      <c r="J92" s="579">
        <f t="shared" si="3"/>
        <v>40</v>
      </c>
      <c r="K92" s="580">
        <v>0</v>
      </c>
      <c r="L92" s="580"/>
      <c r="M92" s="580"/>
      <c r="N92" s="580"/>
      <c r="O92" s="580"/>
      <c r="P92" s="580"/>
      <c r="Q92" s="580"/>
      <c r="R92" s="580"/>
      <c r="S92" s="580"/>
      <c r="T92" s="580"/>
      <c r="U92" s="580">
        <v>40</v>
      </c>
      <c r="V92" s="563"/>
      <c r="W92" s="581"/>
      <c r="X92" s="581"/>
      <c r="Y92" s="580"/>
      <c r="Z92" s="580"/>
      <c r="AA92" s="580"/>
      <c r="AB92" s="580"/>
      <c r="AC92" s="581"/>
      <c r="AD92" s="580"/>
      <c r="AE92" s="581"/>
      <c r="AF92" s="581"/>
      <c r="AG92" s="581"/>
      <c r="AH92" s="581"/>
      <c r="AI92" s="581"/>
      <c r="AJ92" s="580"/>
      <c r="AK92" s="580"/>
      <c r="AL92" s="580"/>
      <c r="AM92" s="580"/>
      <c r="AN92" s="580"/>
      <c r="AO92" s="580"/>
      <c r="AP92" s="580"/>
      <c r="AQ92" s="582"/>
      <c r="AR92" s="559"/>
    </row>
    <row r="93" spans="1:44" x14ac:dyDescent="0.35">
      <c r="A93" s="552">
        <v>87</v>
      </c>
      <c r="C93" s="583">
        <v>45616</v>
      </c>
      <c r="D93" s="584">
        <v>2701</v>
      </c>
      <c r="E93" s="35" t="s">
        <v>939</v>
      </c>
      <c r="F93" s="35" t="s">
        <v>1017</v>
      </c>
      <c r="G93" s="1" t="s">
        <v>999</v>
      </c>
      <c r="H93" s="563">
        <v>590.70000000000005</v>
      </c>
      <c r="I93" s="1230">
        <v>590.70000000000005</v>
      </c>
      <c r="J93" s="579">
        <f t="shared" si="3"/>
        <v>590.70000000000005</v>
      </c>
      <c r="K93" s="580">
        <v>0</v>
      </c>
      <c r="L93" s="580"/>
      <c r="M93" s="580"/>
      <c r="N93" s="580"/>
      <c r="O93" s="580"/>
      <c r="P93" s="580"/>
      <c r="Q93" s="580"/>
      <c r="R93" s="580"/>
      <c r="S93" s="580"/>
      <c r="T93" s="580"/>
      <c r="U93" s="580"/>
      <c r="V93" s="563"/>
      <c r="W93" s="581"/>
      <c r="X93" s="581"/>
      <c r="Y93" s="580"/>
      <c r="Z93" s="580"/>
      <c r="AA93" s="580"/>
      <c r="AB93" s="580"/>
      <c r="AC93" s="581">
        <v>590.70000000000005</v>
      </c>
      <c r="AD93" s="580"/>
      <c r="AE93" s="581"/>
      <c r="AF93" s="581"/>
      <c r="AG93" s="581"/>
      <c r="AH93" s="581"/>
      <c r="AI93" s="581"/>
      <c r="AJ93" s="580"/>
      <c r="AK93" s="580"/>
      <c r="AL93" s="580"/>
      <c r="AM93" s="580"/>
      <c r="AN93" s="580"/>
      <c r="AO93" s="580"/>
      <c r="AP93" s="580"/>
      <c r="AQ93" s="582"/>
      <c r="AR93" s="559"/>
    </row>
    <row r="94" spans="1:44" x14ac:dyDescent="0.35">
      <c r="A94" s="552">
        <v>88</v>
      </c>
      <c r="C94" s="583">
        <v>45616</v>
      </c>
      <c r="D94" s="584">
        <v>2702</v>
      </c>
      <c r="E94" s="35" t="s">
        <v>913</v>
      </c>
      <c r="F94" s="35" t="s">
        <v>1000</v>
      </c>
      <c r="G94" s="1" t="s">
        <v>1001</v>
      </c>
      <c r="H94" s="563">
        <v>100</v>
      </c>
      <c r="I94" s="1230">
        <v>100</v>
      </c>
      <c r="J94" s="579">
        <f t="shared" si="3"/>
        <v>100</v>
      </c>
      <c r="K94" s="580">
        <v>0</v>
      </c>
      <c r="L94" s="580"/>
      <c r="M94" s="580"/>
      <c r="N94" s="580"/>
      <c r="O94" s="580"/>
      <c r="P94" s="580"/>
      <c r="Q94" s="580"/>
      <c r="R94" s="580"/>
      <c r="S94" s="580"/>
      <c r="T94" s="580"/>
      <c r="U94" s="580"/>
      <c r="V94" s="563"/>
      <c r="W94" s="581"/>
      <c r="X94" s="581"/>
      <c r="Y94" s="580"/>
      <c r="Z94" s="580"/>
      <c r="AA94" s="580"/>
      <c r="AB94" s="580"/>
      <c r="AC94" s="581"/>
      <c r="AD94" s="580"/>
      <c r="AE94" s="581"/>
      <c r="AF94" s="581"/>
      <c r="AG94" s="581"/>
      <c r="AH94" s="581"/>
      <c r="AI94" s="581"/>
      <c r="AJ94" s="580"/>
      <c r="AK94" s="580"/>
      <c r="AL94" s="580"/>
      <c r="AM94" s="580"/>
      <c r="AN94" s="580"/>
      <c r="AO94" s="580"/>
      <c r="AP94" s="580">
        <v>100</v>
      </c>
      <c r="AQ94" s="582"/>
      <c r="AR94" s="559"/>
    </row>
    <row r="95" spans="1:44" x14ac:dyDescent="0.35">
      <c r="A95" s="552">
        <v>89</v>
      </c>
      <c r="C95" s="583">
        <v>45616</v>
      </c>
      <c r="D95" s="584">
        <v>2703</v>
      </c>
      <c r="E95" s="35" t="s">
        <v>920</v>
      </c>
      <c r="F95" s="35" t="s">
        <v>920</v>
      </c>
      <c r="G95" s="1">
        <v>0</v>
      </c>
      <c r="H95" s="563">
        <v>0</v>
      </c>
      <c r="I95" s="1228">
        <v>0</v>
      </c>
      <c r="J95" s="579">
        <f t="shared" si="3"/>
        <v>0</v>
      </c>
      <c r="K95" s="580">
        <v>0</v>
      </c>
      <c r="L95" s="580"/>
      <c r="M95" s="580"/>
      <c r="N95" s="580"/>
      <c r="O95" s="580"/>
      <c r="P95" s="580"/>
      <c r="Q95" s="580"/>
      <c r="R95" s="580"/>
      <c r="S95" s="580"/>
      <c r="T95" s="580"/>
      <c r="U95" s="580"/>
      <c r="V95" s="563"/>
      <c r="W95" s="581"/>
      <c r="X95" s="581"/>
      <c r="Y95" s="580"/>
      <c r="Z95" s="580"/>
      <c r="AA95" s="580"/>
      <c r="AB95" s="580"/>
      <c r="AC95" s="581"/>
      <c r="AD95" s="580"/>
      <c r="AE95" s="581"/>
      <c r="AF95" s="581"/>
      <c r="AG95" s="581"/>
      <c r="AH95" s="581"/>
      <c r="AI95" s="581"/>
      <c r="AJ95" s="580"/>
      <c r="AK95" s="580"/>
      <c r="AL95" s="580"/>
      <c r="AM95" s="580"/>
      <c r="AN95" s="580"/>
      <c r="AO95" s="580"/>
      <c r="AP95" s="580"/>
      <c r="AQ95" s="582"/>
      <c r="AR95" s="559"/>
    </row>
    <row r="96" spans="1:44" x14ac:dyDescent="0.35">
      <c r="A96">
        <v>90</v>
      </c>
      <c r="C96" s="583">
        <v>45616</v>
      </c>
      <c r="D96" s="584">
        <v>2704</v>
      </c>
      <c r="E96" s="35" t="s">
        <v>875</v>
      </c>
      <c r="F96" s="35" t="s">
        <v>1002</v>
      </c>
      <c r="G96" s="1" t="s">
        <v>1003</v>
      </c>
      <c r="H96" s="563">
        <v>72</v>
      </c>
      <c r="I96" s="1230">
        <v>72</v>
      </c>
      <c r="J96" s="579">
        <f t="shared" si="3"/>
        <v>72</v>
      </c>
      <c r="K96" s="580">
        <v>0</v>
      </c>
      <c r="L96" s="580"/>
      <c r="M96" s="580"/>
      <c r="N96" s="580"/>
      <c r="O96" s="580"/>
      <c r="P96" s="580"/>
      <c r="Q96" s="580"/>
      <c r="R96" s="580"/>
      <c r="S96" s="580"/>
      <c r="T96" s="580"/>
      <c r="U96" s="580"/>
      <c r="V96" s="563"/>
      <c r="W96" s="581"/>
      <c r="X96" s="581"/>
      <c r="Y96" s="580"/>
      <c r="Z96" s="580"/>
      <c r="AA96" s="580"/>
      <c r="AB96" s="580"/>
      <c r="AC96" s="581"/>
      <c r="AD96" s="580"/>
      <c r="AE96" s="581"/>
      <c r="AF96" s="581">
        <v>72</v>
      </c>
      <c r="AG96" s="581"/>
      <c r="AH96" s="581"/>
      <c r="AI96" s="581"/>
      <c r="AJ96" s="580"/>
      <c r="AK96" s="580"/>
      <c r="AL96" s="580"/>
      <c r="AM96" s="580"/>
      <c r="AN96" s="580"/>
      <c r="AO96" s="580"/>
      <c r="AP96" s="580"/>
      <c r="AQ96" s="582"/>
      <c r="AR96" s="559"/>
    </row>
    <row r="97" spans="1:44" x14ac:dyDescent="0.35">
      <c r="A97" s="552">
        <v>91</v>
      </c>
      <c r="B97" s="550">
        <v>440498250</v>
      </c>
      <c r="C97" s="583">
        <v>45616</v>
      </c>
      <c r="D97" s="584">
        <v>2705</v>
      </c>
      <c r="E97" s="35" t="s">
        <v>937</v>
      </c>
      <c r="F97" s="35" t="s">
        <v>1014</v>
      </c>
      <c r="G97" s="550" t="s">
        <v>936</v>
      </c>
      <c r="H97" s="563">
        <v>378</v>
      </c>
      <c r="I97" s="1230">
        <v>378</v>
      </c>
      <c r="J97" s="579">
        <f t="shared" si="3"/>
        <v>378</v>
      </c>
      <c r="K97" s="580">
        <v>63</v>
      </c>
      <c r="L97" s="580"/>
      <c r="M97" s="580"/>
      <c r="N97" s="580"/>
      <c r="O97" s="580"/>
      <c r="P97" s="580"/>
      <c r="Q97" s="580"/>
      <c r="R97" s="580"/>
      <c r="S97" s="580"/>
      <c r="T97" s="580"/>
      <c r="U97" s="580"/>
      <c r="V97" s="563"/>
      <c r="W97" s="581"/>
      <c r="X97" s="581"/>
      <c r="Y97" s="580">
        <v>315</v>
      </c>
      <c r="Z97" s="580"/>
      <c r="AA97" s="580"/>
      <c r="AB97" s="580"/>
      <c r="AC97" s="581"/>
      <c r="AD97" s="580"/>
      <c r="AE97" s="581"/>
      <c r="AF97" s="581"/>
      <c r="AG97" s="581"/>
      <c r="AH97" s="581"/>
      <c r="AI97" s="581"/>
      <c r="AJ97" s="580"/>
      <c r="AK97" s="580"/>
      <c r="AL97" s="580"/>
      <c r="AM97" s="580"/>
      <c r="AN97" s="580"/>
      <c r="AO97" s="580"/>
      <c r="AP97" s="580"/>
      <c r="AQ97" s="582"/>
      <c r="AR97" s="559"/>
    </row>
    <row r="98" spans="1:44" x14ac:dyDescent="0.35">
      <c r="A98" s="552">
        <v>92</v>
      </c>
      <c r="C98" s="583">
        <v>45616</v>
      </c>
      <c r="D98" s="584">
        <v>2706</v>
      </c>
      <c r="E98" s="35" t="s">
        <v>851</v>
      </c>
      <c r="F98" s="35" t="s">
        <v>1076</v>
      </c>
      <c r="G98" s="1" t="s">
        <v>1087</v>
      </c>
      <c r="H98" s="563">
        <v>0</v>
      </c>
      <c r="I98" s="1228">
        <v>0</v>
      </c>
      <c r="J98" s="579">
        <f t="shared" si="3"/>
        <v>0</v>
      </c>
      <c r="K98" s="580">
        <v>0</v>
      </c>
      <c r="L98" s="580"/>
      <c r="M98" s="580"/>
      <c r="N98" s="580"/>
      <c r="O98" s="580"/>
      <c r="P98" s="580"/>
      <c r="Q98" s="580"/>
      <c r="R98" s="580"/>
      <c r="S98" s="580"/>
      <c r="T98" s="580"/>
      <c r="U98" s="580"/>
      <c r="V98" s="563"/>
      <c r="W98" s="581"/>
      <c r="X98" s="581"/>
      <c r="Y98" s="580"/>
      <c r="Z98" s="580"/>
      <c r="AA98" s="580"/>
      <c r="AB98" s="580"/>
      <c r="AC98" s="581"/>
      <c r="AD98" s="580"/>
      <c r="AE98" s="581"/>
      <c r="AF98" s="581"/>
      <c r="AG98" s="581"/>
      <c r="AH98" s="581"/>
      <c r="AI98" s="581"/>
      <c r="AJ98" s="580"/>
      <c r="AK98" s="580"/>
      <c r="AL98" s="580"/>
      <c r="AM98" s="580"/>
      <c r="AN98" s="580"/>
      <c r="AO98" s="580"/>
      <c r="AP98" s="580"/>
      <c r="AQ98" s="582"/>
      <c r="AR98" s="559"/>
    </row>
    <row r="99" spans="1:44" x14ac:dyDescent="0.35">
      <c r="A99" s="552">
        <v>93</v>
      </c>
      <c r="B99" s="550">
        <v>358672751</v>
      </c>
      <c r="C99" s="583">
        <v>45634</v>
      </c>
      <c r="D99" s="584" t="s">
        <v>810</v>
      </c>
      <c r="E99" s="35" t="s">
        <v>807</v>
      </c>
      <c r="F99" s="35" t="s">
        <v>1053</v>
      </c>
      <c r="G99" s="1" t="s">
        <v>1088</v>
      </c>
      <c r="H99" s="563">
        <v>181.08</v>
      </c>
      <c r="I99" s="1230">
        <v>181.08</v>
      </c>
      <c r="J99" s="579">
        <f t="shared" si="3"/>
        <v>181.08</v>
      </c>
      <c r="K99" s="580">
        <v>8.6199999999999992</v>
      </c>
      <c r="L99" s="580"/>
      <c r="M99" s="580"/>
      <c r="N99" s="580"/>
      <c r="O99" s="580"/>
      <c r="P99" s="580"/>
      <c r="Q99" s="580"/>
      <c r="R99" s="580"/>
      <c r="S99" s="580"/>
      <c r="T99" s="580"/>
      <c r="U99" s="580"/>
      <c r="V99" s="563"/>
      <c r="W99" s="581"/>
      <c r="X99" s="581"/>
      <c r="Y99" s="580"/>
      <c r="Z99" s="580"/>
      <c r="AA99" s="580"/>
      <c r="AB99" s="580"/>
      <c r="AC99" s="581"/>
      <c r="AD99" s="580"/>
      <c r="AE99" s="581"/>
      <c r="AF99" s="581"/>
      <c r="AG99" s="581">
        <v>172.46</v>
      </c>
      <c r="AH99" s="581"/>
      <c r="AI99" s="581"/>
      <c r="AJ99" s="580"/>
      <c r="AK99" s="580"/>
      <c r="AL99" s="580"/>
      <c r="AM99" s="580"/>
      <c r="AN99" s="580"/>
      <c r="AO99" s="580"/>
      <c r="AP99" s="580"/>
      <c r="AQ99" s="582"/>
      <c r="AR99" s="559"/>
    </row>
    <row r="100" spans="1:44" x14ac:dyDescent="0.35">
      <c r="A100">
        <v>94</v>
      </c>
      <c r="C100" s="583">
        <v>45672</v>
      </c>
      <c r="D100" s="584">
        <v>2707</v>
      </c>
      <c r="E100" s="35" t="s">
        <v>791</v>
      </c>
      <c r="F100" s="35" t="s">
        <v>1054</v>
      </c>
      <c r="G100" s="1" t="s">
        <v>1089</v>
      </c>
      <c r="H100" s="563">
        <v>976.99</v>
      </c>
      <c r="I100" s="1228"/>
      <c r="J100" s="579">
        <f t="shared" si="3"/>
        <v>976.99</v>
      </c>
      <c r="K100" s="580">
        <v>0</v>
      </c>
      <c r="L100" s="580"/>
      <c r="M100" s="580">
        <v>976.99</v>
      </c>
      <c r="N100" s="580"/>
      <c r="O100" s="580"/>
      <c r="P100" s="580"/>
      <c r="Q100" s="580"/>
      <c r="R100" s="580"/>
      <c r="S100" s="580"/>
      <c r="T100" s="580"/>
      <c r="U100" s="580"/>
      <c r="V100" s="563"/>
      <c r="W100" s="581"/>
      <c r="X100" s="581"/>
      <c r="Y100" s="580"/>
      <c r="Z100" s="580"/>
      <c r="AA100" s="580"/>
      <c r="AB100" s="580"/>
      <c r="AC100" s="581"/>
      <c r="AD100" s="580"/>
      <c r="AE100" s="581"/>
      <c r="AF100" s="581"/>
      <c r="AG100" s="581"/>
      <c r="AH100" s="581"/>
      <c r="AI100" s="581"/>
      <c r="AJ100" s="580"/>
      <c r="AK100" s="580"/>
      <c r="AL100" s="580"/>
      <c r="AM100" s="580"/>
      <c r="AN100" s="580"/>
      <c r="AO100" s="580"/>
      <c r="AP100" s="580"/>
      <c r="AQ100" s="582"/>
      <c r="AR100" s="559"/>
    </row>
    <row r="101" spans="1:44" x14ac:dyDescent="0.35">
      <c r="A101">
        <v>95</v>
      </c>
      <c r="C101" s="583">
        <v>45672</v>
      </c>
      <c r="D101" s="584">
        <v>2707</v>
      </c>
      <c r="E101" s="35" t="s">
        <v>791</v>
      </c>
      <c r="F101" s="35" t="s">
        <v>1055</v>
      </c>
      <c r="G101" s="1" t="s">
        <v>1089</v>
      </c>
      <c r="H101" s="563">
        <v>26</v>
      </c>
      <c r="I101" s="1228"/>
      <c r="J101" s="579">
        <f t="shared" si="3"/>
        <v>26</v>
      </c>
      <c r="K101" s="580">
        <v>0</v>
      </c>
      <c r="L101" s="580"/>
      <c r="M101" s="580"/>
      <c r="N101" s="580"/>
      <c r="O101" s="580"/>
      <c r="P101" s="580"/>
      <c r="Q101" s="580"/>
      <c r="R101" s="580"/>
      <c r="S101" s="580"/>
      <c r="T101" s="580">
        <v>26</v>
      </c>
      <c r="U101" s="580"/>
      <c r="V101" s="563"/>
      <c r="W101" s="581"/>
      <c r="X101" s="581"/>
      <c r="Y101" s="580"/>
      <c r="Z101" s="580"/>
      <c r="AA101" s="580"/>
      <c r="AB101" s="580"/>
      <c r="AC101" s="581"/>
      <c r="AD101" s="580"/>
      <c r="AE101" s="581"/>
      <c r="AF101" s="581"/>
      <c r="AG101" s="581"/>
      <c r="AH101" s="581"/>
      <c r="AI101" s="581"/>
      <c r="AJ101" s="580"/>
      <c r="AK101" s="580"/>
      <c r="AL101" s="580"/>
      <c r="AM101" s="580"/>
      <c r="AN101" s="580"/>
      <c r="AO101" s="580"/>
      <c r="AP101" s="580"/>
      <c r="AQ101" s="582"/>
      <c r="AR101" s="559"/>
    </row>
    <row r="102" spans="1:44" x14ac:dyDescent="0.35">
      <c r="A102">
        <v>96</v>
      </c>
      <c r="B102" s="550">
        <v>220430231</v>
      </c>
      <c r="C102" s="583">
        <v>45672</v>
      </c>
      <c r="D102" s="584">
        <v>2707</v>
      </c>
      <c r="E102" s="35" t="s">
        <v>791</v>
      </c>
      <c r="F102" s="35" t="s">
        <v>1056</v>
      </c>
      <c r="G102" s="1" t="s">
        <v>1089</v>
      </c>
      <c r="H102" s="563">
        <v>35.6</v>
      </c>
      <c r="I102" s="1230">
        <f>SUM(H100:H102)</f>
        <v>1038.5899999999999</v>
      </c>
      <c r="J102" s="579">
        <f t="shared" si="3"/>
        <v>35.6</v>
      </c>
      <c r="K102" s="580">
        <v>3.67</v>
      </c>
      <c r="L102" s="580"/>
      <c r="M102" s="580"/>
      <c r="N102" s="580"/>
      <c r="O102" s="580"/>
      <c r="P102" s="580"/>
      <c r="Q102" s="580"/>
      <c r="R102" s="580"/>
      <c r="S102" s="580"/>
      <c r="T102" s="580"/>
      <c r="U102" s="580"/>
      <c r="V102" s="563">
        <v>31.93</v>
      </c>
      <c r="W102" s="581"/>
      <c r="X102" s="581"/>
      <c r="Y102" s="580"/>
      <c r="Z102" s="580"/>
      <c r="AA102" s="580"/>
      <c r="AB102" s="580"/>
      <c r="AC102" s="581"/>
      <c r="AD102" s="580"/>
      <c r="AE102" s="581"/>
      <c r="AF102" s="581"/>
      <c r="AG102" s="581"/>
      <c r="AH102" s="581"/>
      <c r="AI102" s="581"/>
      <c r="AJ102" s="580"/>
      <c r="AK102" s="580"/>
      <c r="AL102" s="580"/>
      <c r="AM102" s="580"/>
      <c r="AN102" s="580"/>
      <c r="AO102" s="580"/>
      <c r="AP102" s="580"/>
      <c r="AQ102" s="582"/>
      <c r="AR102" s="559"/>
    </row>
    <row r="103" spans="1:44" x14ac:dyDescent="0.35">
      <c r="A103" s="552">
        <v>97</v>
      </c>
      <c r="C103" s="583">
        <v>45672</v>
      </c>
      <c r="D103" s="584">
        <v>2708</v>
      </c>
      <c r="E103" s="35" t="s">
        <v>796</v>
      </c>
      <c r="F103" s="35" t="s">
        <v>1057</v>
      </c>
      <c r="G103" s="1" t="s">
        <v>1090</v>
      </c>
      <c r="H103" s="563">
        <v>349.4</v>
      </c>
      <c r="I103" s="1230">
        <v>349.4</v>
      </c>
      <c r="J103" s="579">
        <f t="shared" si="3"/>
        <v>349.40000000000003</v>
      </c>
      <c r="K103" s="580">
        <v>0</v>
      </c>
      <c r="L103" s="580"/>
      <c r="M103" s="580">
        <v>271.66000000000003</v>
      </c>
      <c r="N103" s="580">
        <v>77.739999999999995</v>
      </c>
      <c r="O103" s="580"/>
      <c r="P103" s="580"/>
      <c r="Q103" s="580"/>
      <c r="R103" s="580"/>
      <c r="S103" s="580"/>
      <c r="T103" s="580"/>
      <c r="U103" s="580"/>
      <c r="V103" s="563"/>
      <c r="W103" s="581"/>
      <c r="X103" s="581"/>
      <c r="Y103" s="580"/>
      <c r="Z103" s="580"/>
      <c r="AA103" s="580"/>
      <c r="AB103" s="580"/>
      <c r="AC103" s="581"/>
      <c r="AD103" s="580"/>
      <c r="AE103" s="581"/>
      <c r="AF103" s="581"/>
      <c r="AG103" s="581"/>
      <c r="AH103" s="581"/>
      <c r="AI103" s="581"/>
      <c r="AJ103" s="580"/>
      <c r="AK103" s="580"/>
      <c r="AL103" s="580"/>
      <c r="AM103" s="580"/>
      <c r="AN103" s="580"/>
      <c r="AO103" s="580"/>
      <c r="AP103" s="580"/>
      <c r="AQ103" s="582"/>
      <c r="AR103" s="559"/>
    </row>
    <row r="104" spans="1:44" x14ac:dyDescent="0.35">
      <c r="A104" s="552">
        <v>98</v>
      </c>
      <c r="C104" s="583">
        <v>45672</v>
      </c>
      <c r="D104" s="584">
        <v>2709</v>
      </c>
      <c r="E104" s="35" t="s">
        <v>799</v>
      </c>
      <c r="F104" s="35" t="s">
        <v>1058</v>
      </c>
      <c r="G104" s="1" t="s">
        <v>1091</v>
      </c>
      <c r="H104" s="563">
        <v>367.32</v>
      </c>
      <c r="I104" s="1230">
        <v>367.32</v>
      </c>
      <c r="J104" s="579">
        <f t="shared" si="3"/>
        <v>367.32</v>
      </c>
      <c r="K104" s="580">
        <v>0</v>
      </c>
      <c r="L104" s="580"/>
      <c r="M104" s="580">
        <v>72.67</v>
      </c>
      <c r="N104" s="580"/>
      <c r="O104" s="580">
        <v>294.64999999999998</v>
      </c>
      <c r="P104" s="580"/>
      <c r="Q104" s="580"/>
      <c r="R104" s="580"/>
      <c r="S104" s="580"/>
      <c r="T104" s="580"/>
      <c r="U104" s="580"/>
      <c r="V104" s="563"/>
      <c r="W104" s="581"/>
      <c r="X104" s="581"/>
      <c r="Y104" s="580"/>
      <c r="Z104" s="580"/>
      <c r="AA104" s="580"/>
      <c r="AB104" s="580"/>
      <c r="AC104" s="581"/>
      <c r="AD104" s="580"/>
      <c r="AE104" s="581"/>
      <c r="AF104" s="581"/>
      <c r="AG104" s="581"/>
      <c r="AH104" s="581"/>
      <c r="AI104" s="581"/>
      <c r="AJ104" s="580"/>
      <c r="AK104" s="580"/>
      <c r="AL104" s="580"/>
      <c r="AM104" s="580"/>
      <c r="AN104" s="580"/>
      <c r="AO104" s="580"/>
      <c r="AP104" s="580"/>
      <c r="AQ104" s="582"/>
      <c r="AR104" s="559"/>
    </row>
    <row r="105" spans="1:44" x14ac:dyDescent="0.35">
      <c r="A105" s="552">
        <v>99</v>
      </c>
      <c r="C105" s="583">
        <v>45672</v>
      </c>
      <c r="D105" s="584">
        <v>2710</v>
      </c>
      <c r="E105" s="35" t="s">
        <v>1059</v>
      </c>
      <c r="F105" s="35" t="s">
        <v>961</v>
      </c>
      <c r="G105" s="1" t="s">
        <v>1092</v>
      </c>
      <c r="H105" s="563">
        <v>90</v>
      </c>
      <c r="I105" s="1230">
        <v>90</v>
      </c>
      <c r="J105" s="579">
        <f t="shared" si="3"/>
        <v>90</v>
      </c>
      <c r="K105" s="580">
        <v>0</v>
      </c>
      <c r="L105" s="580"/>
      <c r="M105" s="580"/>
      <c r="N105" s="580"/>
      <c r="O105" s="580"/>
      <c r="P105" s="580"/>
      <c r="Q105" s="580"/>
      <c r="R105" s="580"/>
      <c r="S105" s="580"/>
      <c r="T105" s="580"/>
      <c r="U105" s="580"/>
      <c r="V105" s="563"/>
      <c r="W105" s="581"/>
      <c r="X105" s="581"/>
      <c r="Y105" s="580"/>
      <c r="Z105" s="580"/>
      <c r="AA105" s="580"/>
      <c r="AB105" s="580"/>
      <c r="AC105" s="581"/>
      <c r="AD105" s="580"/>
      <c r="AE105" s="581"/>
      <c r="AF105" s="581"/>
      <c r="AG105" s="581"/>
      <c r="AH105" s="581"/>
      <c r="AI105" s="581"/>
      <c r="AJ105" s="580"/>
      <c r="AK105" s="580"/>
      <c r="AL105" s="580"/>
      <c r="AM105" s="580"/>
      <c r="AN105" s="580">
        <v>90</v>
      </c>
      <c r="AO105" s="580"/>
      <c r="AP105" s="580"/>
      <c r="AQ105" s="582"/>
      <c r="AR105" s="559"/>
    </row>
    <row r="106" spans="1:44" x14ac:dyDescent="0.35">
      <c r="A106">
        <v>100</v>
      </c>
      <c r="B106" s="550">
        <v>319503314</v>
      </c>
      <c r="C106" s="583">
        <v>45672</v>
      </c>
      <c r="D106" s="584">
        <v>2711</v>
      </c>
      <c r="E106" s="35" t="s">
        <v>1060</v>
      </c>
      <c r="F106" s="35" t="s">
        <v>1061</v>
      </c>
      <c r="G106" s="1" t="s">
        <v>1093</v>
      </c>
      <c r="H106" s="563">
        <v>216</v>
      </c>
      <c r="I106" s="1230">
        <v>216</v>
      </c>
      <c r="J106" s="579">
        <f t="shared" si="3"/>
        <v>216</v>
      </c>
      <c r="K106" s="580">
        <v>36</v>
      </c>
      <c r="L106" s="580"/>
      <c r="M106" s="580"/>
      <c r="N106" s="580"/>
      <c r="O106" s="580"/>
      <c r="P106" s="580"/>
      <c r="Q106" s="580"/>
      <c r="R106" s="580"/>
      <c r="S106" s="580"/>
      <c r="T106" s="580"/>
      <c r="U106" s="580"/>
      <c r="V106" s="563"/>
      <c r="W106" s="581"/>
      <c r="X106" s="581"/>
      <c r="Y106" s="580"/>
      <c r="Z106" s="580"/>
      <c r="AA106" s="580"/>
      <c r="AB106" s="580"/>
      <c r="AC106" s="581"/>
      <c r="AD106" s="580"/>
      <c r="AE106" s="581"/>
      <c r="AF106" s="581"/>
      <c r="AG106" s="581"/>
      <c r="AH106" s="581"/>
      <c r="AI106" s="581"/>
      <c r="AJ106" s="580">
        <v>180</v>
      </c>
      <c r="AK106" s="580"/>
      <c r="AL106" s="580"/>
      <c r="AM106" s="580"/>
      <c r="AN106" s="580"/>
      <c r="AO106" s="580"/>
      <c r="AP106" s="580"/>
      <c r="AQ106" s="582"/>
      <c r="AR106" s="559"/>
    </row>
    <row r="107" spans="1:44" x14ac:dyDescent="0.35">
      <c r="A107" s="552">
        <v>101</v>
      </c>
      <c r="C107" s="583">
        <v>45672</v>
      </c>
      <c r="D107" s="584">
        <v>2712</v>
      </c>
      <c r="E107" s="35" t="s">
        <v>37</v>
      </c>
      <c r="F107" s="35" t="s">
        <v>1062</v>
      </c>
      <c r="G107" s="1" t="s">
        <v>1094</v>
      </c>
      <c r="H107" s="563">
        <v>35</v>
      </c>
      <c r="I107" s="1230">
        <v>35</v>
      </c>
      <c r="J107" s="579">
        <f t="shared" si="3"/>
        <v>35</v>
      </c>
      <c r="K107" s="580">
        <v>0</v>
      </c>
      <c r="L107" s="580"/>
      <c r="M107" s="580"/>
      <c r="N107" s="580"/>
      <c r="O107" s="580"/>
      <c r="P107" s="580"/>
      <c r="Q107" s="580"/>
      <c r="R107" s="580"/>
      <c r="S107" s="580"/>
      <c r="T107" s="580"/>
      <c r="U107" s="580"/>
      <c r="V107" s="563"/>
      <c r="W107" s="581"/>
      <c r="X107" s="581">
        <v>35</v>
      </c>
      <c r="Y107" s="580"/>
      <c r="Z107" s="580"/>
      <c r="AA107" s="580"/>
      <c r="AB107" s="580"/>
      <c r="AC107" s="581"/>
      <c r="AD107" s="580"/>
      <c r="AE107" s="581"/>
      <c r="AF107" s="581"/>
      <c r="AG107" s="581"/>
      <c r="AH107" s="581"/>
      <c r="AI107" s="581"/>
      <c r="AJ107" s="580"/>
      <c r="AK107" s="580"/>
      <c r="AL107" s="580"/>
      <c r="AM107" s="580"/>
      <c r="AN107" s="580"/>
      <c r="AO107" s="580"/>
      <c r="AP107" s="580"/>
      <c r="AQ107" s="582"/>
      <c r="AR107" s="559"/>
    </row>
    <row r="108" spans="1:44" x14ac:dyDescent="0.35">
      <c r="A108" s="552">
        <v>102</v>
      </c>
      <c r="B108" s="550">
        <v>358672751</v>
      </c>
      <c r="C108" s="583">
        <v>45672</v>
      </c>
      <c r="D108" s="584" t="s">
        <v>810</v>
      </c>
      <c r="E108" s="35" t="s">
        <v>807</v>
      </c>
      <c r="F108" s="35" t="s">
        <v>1126</v>
      </c>
      <c r="G108" s="1" t="s">
        <v>1095</v>
      </c>
      <c r="H108" s="563">
        <v>0</v>
      </c>
      <c r="I108" s="1228">
        <v>0</v>
      </c>
      <c r="J108" s="579">
        <f t="shared" si="3"/>
        <v>0</v>
      </c>
      <c r="K108" s="580">
        <v>0</v>
      </c>
      <c r="L108" s="580"/>
      <c r="M108" s="580"/>
      <c r="N108" s="580"/>
      <c r="O108" s="580"/>
      <c r="P108" s="580"/>
      <c r="Q108" s="580"/>
      <c r="R108" s="580"/>
      <c r="S108" s="580"/>
      <c r="T108" s="580"/>
      <c r="U108" s="580"/>
      <c r="V108" s="563"/>
      <c r="W108" s="581"/>
      <c r="X108" s="581"/>
      <c r="Y108" s="580"/>
      <c r="Z108" s="580"/>
      <c r="AA108" s="580"/>
      <c r="AB108" s="580"/>
      <c r="AC108" s="581"/>
      <c r="AD108" s="580"/>
      <c r="AE108" s="581"/>
      <c r="AF108" s="581"/>
      <c r="AG108" s="581"/>
      <c r="AH108" s="581"/>
      <c r="AI108" s="581"/>
      <c r="AJ108" s="580"/>
      <c r="AK108" s="580"/>
      <c r="AL108" s="580"/>
      <c r="AM108" s="580"/>
      <c r="AN108" s="580"/>
      <c r="AO108" s="580"/>
      <c r="AP108" s="580"/>
      <c r="AQ108" s="582"/>
      <c r="AR108" s="559"/>
    </row>
    <row r="109" spans="1:44" x14ac:dyDescent="0.35">
      <c r="A109" s="552">
        <v>103</v>
      </c>
      <c r="B109" s="550">
        <v>0</v>
      </c>
      <c r="C109" s="583">
        <v>45672</v>
      </c>
      <c r="D109" s="584">
        <v>2713</v>
      </c>
      <c r="E109" s="35" t="s">
        <v>939</v>
      </c>
      <c r="F109" s="35" t="s">
        <v>1063</v>
      </c>
      <c r="G109" s="1" t="s">
        <v>1096</v>
      </c>
      <c r="H109" s="563">
        <v>262.5</v>
      </c>
      <c r="I109" s="1230">
        <v>262.5</v>
      </c>
      <c r="J109" s="579">
        <f t="shared" si="3"/>
        <v>262.5</v>
      </c>
      <c r="K109" s="580">
        <v>0</v>
      </c>
      <c r="L109" s="580"/>
      <c r="M109" s="580"/>
      <c r="N109" s="580"/>
      <c r="O109" s="580"/>
      <c r="P109" s="580"/>
      <c r="Q109" s="580"/>
      <c r="R109" s="580"/>
      <c r="S109" s="580"/>
      <c r="T109" s="580"/>
      <c r="U109" s="580"/>
      <c r="V109" s="563"/>
      <c r="W109" s="581"/>
      <c r="X109" s="581"/>
      <c r="Y109" s="580"/>
      <c r="Z109" s="580"/>
      <c r="AA109" s="580"/>
      <c r="AB109" s="580"/>
      <c r="AC109" s="581">
        <v>262.5</v>
      </c>
      <c r="AD109" s="580"/>
      <c r="AE109" s="581"/>
      <c r="AF109" s="581"/>
      <c r="AG109" s="581"/>
      <c r="AH109" s="581"/>
      <c r="AI109" s="581"/>
      <c r="AJ109" s="580"/>
      <c r="AK109" s="580"/>
      <c r="AL109" s="580"/>
      <c r="AM109" s="580"/>
      <c r="AN109" s="580"/>
      <c r="AO109" s="580"/>
      <c r="AP109" s="580"/>
      <c r="AQ109" s="582"/>
      <c r="AR109" s="559"/>
    </row>
    <row r="110" spans="1:44" x14ac:dyDescent="0.35">
      <c r="A110">
        <v>104</v>
      </c>
      <c r="B110" s="550">
        <v>131254412</v>
      </c>
      <c r="C110" s="583">
        <v>45672</v>
      </c>
      <c r="D110" s="584">
        <v>2714</v>
      </c>
      <c r="E110" s="35" t="s">
        <v>829</v>
      </c>
      <c r="F110" s="35" t="s">
        <v>1069</v>
      </c>
      <c r="G110" s="1" t="s">
        <v>1097</v>
      </c>
      <c r="H110" s="563">
        <v>95.4</v>
      </c>
      <c r="I110" s="1230">
        <v>95.4</v>
      </c>
      <c r="J110" s="579">
        <f t="shared" si="3"/>
        <v>95.4</v>
      </c>
      <c r="K110" s="580">
        <v>15.9</v>
      </c>
      <c r="L110" s="580"/>
      <c r="M110" s="580"/>
      <c r="N110" s="580"/>
      <c r="O110" s="580"/>
      <c r="P110" s="580"/>
      <c r="Q110" s="580"/>
      <c r="R110" s="580"/>
      <c r="S110" s="580"/>
      <c r="T110" s="580"/>
      <c r="U110" s="580"/>
      <c r="V110" s="563"/>
      <c r="W110" s="581"/>
      <c r="X110" s="581"/>
      <c r="Y110" s="580"/>
      <c r="Z110" s="580"/>
      <c r="AA110" s="580"/>
      <c r="AB110" s="580"/>
      <c r="AC110" s="581"/>
      <c r="AD110" s="580"/>
      <c r="AE110" s="581"/>
      <c r="AF110" s="581"/>
      <c r="AG110" s="581"/>
      <c r="AH110" s="581"/>
      <c r="AI110" s="581"/>
      <c r="AJ110" s="580">
        <v>79.5</v>
      </c>
      <c r="AK110" s="580"/>
      <c r="AL110" s="580"/>
      <c r="AM110" s="580"/>
      <c r="AN110" s="580"/>
      <c r="AO110" s="580"/>
      <c r="AP110" s="580"/>
      <c r="AQ110" s="582"/>
      <c r="AR110" s="559"/>
    </row>
    <row r="111" spans="1:44" x14ac:dyDescent="0.35">
      <c r="A111">
        <v>105</v>
      </c>
      <c r="C111" s="583">
        <v>45672</v>
      </c>
      <c r="D111" s="584">
        <v>2715</v>
      </c>
      <c r="E111" s="35" t="s">
        <v>920</v>
      </c>
      <c r="F111" s="35" t="s">
        <v>920</v>
      </c>
      <c r="G111" s="1" t="s">
        <v>1098</v>
      </c>
      <c r="H111" s="563">
        <v>0</v>
      </c>
      <c r="I111" s="1228">
        <v>0</v>
      </c>
      <c r="J111" s="579">
        <f t="shared" si="3"/>
        <v>0</v>
      </c>
      <c r="K111" s="580">
        <v>0</v>
      </c>
      <c r="L111" s="580"/>
      <c r="M111" s="580"/>
      <c r="N111" s="580"/>
      <c r="O111" s="580"/>
      <c r="P111" s="580"/>
      <c r="Q111" s="580"/>
      <c r="R111" s="580"/>
      <c r="S111" s="580"/>
      <c r="T111" s="580"/>
      <c r="U111" s="580"/>
      <c r="V111" s="563"/>
      <c r="W111" s="581"/>
      <c r="X111" s="581"/>
      <c r="Y111" s="580"/>
      <c r="Z111" s="580"/>
      <c r="AA111" s="580"/>
      <c r="AB111" s="580"/>
      <c r="AC111" s="581"/>
      <c r="AD111" s="580"/>
      <c r="AE111" s="581"/>
      <c r="AF111" s="581"/>
      <c r="AG111" s="581"/>
      <c r="AH111" s="581"/>
      <c r="AI111" s="581"/>
      <c r="AJ111" s="580"/>
      <c r="AK111" s="580"/>
      <c r="AL111" s="580"/>
      <c r="AM111" s="580"/>
      <c r="AN111" s="580"/>
      <c r="AO111" s="580"/>
      <c r="AP111" s="580"/>
      <c r="AQ111" s="582"/>
      <c r="AR111" s="559"/>
    </row>
    <row r="112" spans="1:44" x14ac:dyDescent="0.35">
      <c r="A112">
        <v>106</v>
      </c>
      <c r="C112" s="583">
        <v>45672</v>
      </c>
      <c r="D112" s="584">
        <v>2716</v>
      </c>
      <c r="E112" s="35" t="s">
        <v>851</v>
      </c>
      <c r="F112" s="35" t="s">
        <v>1075</v>
      </c>
      <c r="G112" s="1" t="s">
        <v>1087</v>
      </c>
      <c r="H112" s="563">
        <v>40</v>
      </c>
      <c r="I112" s="1230">
        <v>40</v>
      </c>
      <c r="J112" s="579">
        <f t="shared" si="3"/>
        <v>40</v>
      </c>
      <c r="K112" s="580">
        <v>0</v>
      </c>
      <c r="L112" s="580"/>
      <c r="M112" s="580"/>
      <c r="N112" s="580"/>
      <c r="O112" s="580"/>
      <c r="P112" s="580"/>
      <c r="Q112" s="580"/>
      <c r="R112" s="580"/>
      <c r="S112" s="580"/>
      <c r="T112" s="580"/>
      <c r="U112" s="580">
        <v>40</v>
      </c>
      <c r="V112" s="563"/>
      <c r="W112" s="581"/>
      <c r="X112" s="581"/>
      <c r="Y112" s="580"/>
      <c r="Z112" s="580"/>
      <c r="AA112" s="580"/>
      <c r="AB112" s="580"/>
      <c r="AC112" s="581"/>
      <c r="AD112" s="580"/>
      <c r="AE112" s="581"/>
      <c r="AF112" s="581"/>
      <c r="AG112" s="581"/>
      <c r="AH112" s="581"/>
      <c r="AI112" s="581"/>
      <c r="AJ112" s="580"/>
      <c r="AK112" s="580"/>
      <c r="AL112" s="580"/>
      <c r="AM112" s="580"/>
      <c r="AN112" s="580"/>
      <c r="AO112" s="580"/>
      <c r="AP112" s="580"/>
      <c r="AQ112" s="582"/>
      <c r="AR112" s="559"/>
    </row>
    <row r="113" spans="1:44" x14ac:dyDescent="0.35">
      <c r="A113" s="552">
        <v>107</v>
      </c>
      <c r="C113" s="583">
        <v>45707</v>
      </c>
      <c r="D113" s="584">
        <v>2717</v>
      </c>
      <c r="E113" s="35" t="s">
        <v>791</v>
      </c>
      <c r="F113" s="35" t="s">
        <v>1081</v>
      </c>
      <c r="G113" s="1" t="s">
        <v>1099</v>
      </c>
      <c r="H113" s="563">
        <v>977.19</v>
      </c>
      <c r="I113" s="1228"/>
      <c r="J113" s="579">
        <f t="shared" ref="J113:J131" si="4">SUM(K113:AQ113)</f>
        <v>977.19</v>
      </c>
      <c r="K113" s="580">
        <v>0</v>
      </c>
      <c r="L113" s="580"/>
      <c r="M113" s="580">
        <v>977.19</v>
      </c>
      <c r="N113" s="580"/>
      <c r="O113" s="580"/>
      <c r="P113" s="580"/>
      <c r="Q113" s="580"/>
      <c r="R113" s="580"/>
      <c r="S113" s="580"/>
      <c r="T113" s="580"/>
      <c r="U113" s="580"/>
      <c r="V113" s="563"/>
      <c r="W113" s="581"/>
      <c r="X113" s="581"/>
      <c r="Y113" s="580"/>
      <c r="Z113" s="580"/>
      <c r="AA113" s="580"/>
      <c r="AB113" s="580"/>
      <c r="AC113" s="581"/>
      <c r="AD113" s="580"/>
      <c r="AE113" s="581"/>
      <c r="AF113" s="581"/>
      <c r="AG113" s="581"/>
      <c r="AH113" s="581"/>
      <c r="AI113" s="581"/>
      <c r="AJ113" s="580"/>
      <c r="AK113" s="580"/>
      <c r="AL113" s="580"/>
      <c r="AM113" s="580"/>
      <c r="AN113" s="580"/>
      <c r="AO113" s="580"/>
      <c r="AP113" s="580"/>
      <c r="AQ113" s="582"/>
      <c r="AR113" s="559"/>
    </row>
    <row r="114" spans="1:44" x14ac:dyDescent="0.35">
      <c r="A114" s="552">
        <v>108</v>
      </c>
      <c r="C114" s="583">
        <v>45707</v>
      </c>
      <c r="D114" s="584">
        <v>2717</v>
      </c>
      <c r="E114" s="35" t="s">
        <v>791</v>
      </c>
      <c r="F114" s="35" t="s">
        <v>1082</v>
      </c>
      <c r="G114" s="1" t="s">
        <v>1099</v>
      </c>
      <c r="H114" s="563">
        <v>26</v>
      </c>
      <c r="I114" s="1230">
        <f>SUM(H113:H114)</f>
        <v>1003.19</v>
      </c>
      <c r="J114" s="579">
        <f t="shared" si="4"/>
        <v>26</v>
      </c>
      <c r="K114" s="580">
        <v>0</v>
      </c>
      <c r="L114" s="580"/>
      <c r="M114" s="580"/>
      <c r="N114" s="580"/>
      <c r="O114" s="580"/>
      <c r="P114" s="580"/>
      <c r="Q114" s="580"/>
      <c r="R114" s="580"/>
      <c r="S114" s="580"/>
      <c r="T114" s="580">
        <v>26</v>
      </c>
      <c r="U114" s="580"/>
      <c r="V114" s="563"/>
      <c r="W114" s="581"/>
      <c r="X114" s="581"/>
      <c r="Y114" s="580"/>
      <c r="Z114" s="580"/>
      <c r="AA114" s="580"/>
      <c r="AB114" s="580"/>
      <c r="AC114" s="581"/>
      <c r="AD114" s="580"/>
      <c r="AE114" s="581"/>
      <c r="AF114" s="581"/>
      <c r="AG114" s="581"/>
      <c r="AH114" s="581"/>
      <c r="AI114" s="581"/>
      <c r="AJ114" s="580"/>
      <c r="AK114" s="580"/>
      <c r="AL114" s="580"/>
      <c r="AM114" s="580"/>
      <c r="AN114" s="580"/>
      <c r="AO114" s="580"/>
      <c r="AP114" s="580"/>
      <c r="AQ114" s="582"/>
      <c r="AR114" s="559"/>
    </row>
    <row r="115" spans="1:44" x14ac:dyDescent="0.35">
      <c r="A115" s="552">
        <v>109</v>
      </c>
      <c r="C115" s="583">
        <v>45707</v>
      </c>
      <c r="D115" s="584">
        <v>2718</v>
      </c>
      <c r="E115" s="35" t="s">
        <v>796</v>
      </c>
      <c r="F115" s="35" t="s">
        <v>1083</v>
      </c>
      <c r="G115" s="1" t="s">
        <v>1100</v>
      </c>
      <c r="H115" s="563">
        <v>349.2</v>
      </c>
      <c r="I115" s="1230">
        <v>349.2</v>
      </c>
      <c r="J115" s="579">
        <f t="shared" si="4"/>
        <v>349.2</v>
      </c>
      <c r="K115" s="580">
        <v>0</v>
      </c>
      <c r="L115" s="580"/>
      <c r="M115" s="580">
        <v>271.45999999999998</v>
      </c>
      <c r="N115" s="580">
        <v>77.739999999999995</v>
      </c>
      <c r="O115" s="580"/>
      <c r="P115" s="580"/>
      <c r="Q115" s="580"/>
      <c r="R115" s="580"/>
      <c r="S115" s="580"/>
      <c r="T115" s="580"/>
      <c r="U115" s="580"/>
      <c r="V115" s="563"/>
      <c r="W115" s="581"/>
      <c r="X115" s="581"/>
      <c r="Y115" s="580"/>
      <c r="Z115" s="580"/>
      <c r="AA115" s="580"/>
      <c r="AB115" s="580"/>
      <c r="AC115" s="581"/>
      <c r="AD115" s="580"/>
      <c r="AE115" s="581"/>
      <c r="AF115" s="581"/>
      <c r="AG115" s="581"/>
      <c r="AH115" s="581"/>
      <c r="AI115" s="581"/>
      <c r="AJ115" s="580"/>
      <c r="AK115" s="580"/>
      <c r="AL115" s="580"/>
      <c r="AM115" s="580"/>
      <c r="AN115" s="580"/>
      <c r="AO115" s="580"/>
      <c r="AP115" s="580"/>
      <c r="AQ115" s="582"/>
      <c r="AR115" s="559"/>
    </row>
    <row r="116" spans="1:44" x14ac:dyDescent="0.35">
      <c r="A116">
        <v>110</v>
      </c>
      <c r="C116" s="583">
        <v>45707</v>
      </c>
      <c r="D116" s="584">
        <v>2719</v>
      </c>
      <c r="E116" s="35" t="s">
        <v>799</v>
      </c>
      <c r="F116" s="35" t="s">
        <v>1084</v>
      </c>
      <c r="G116" s="1" t="s">
        <v>1101</v>
      </c>
      <c r="H116" s="563">
        <v>367.32</v>
      </c>
      <c r="I116" s="1230">
        <v>367.32</v>
      </c>
      <c r="J116" s="579">
        <f t="shared" si="4"/>
        <v>367.32</v>
      </c>
      <c r="K116" s="580">
        <v>0</v>
      </c>
      <c r="L116" s="580"/>
      <c r="M116" s="580">
        <v>72.67</v>
      </c>
      <c r="N116" s="580"/>
      <c r="O116" s="580">
        <v>294.64999999999998</v>
      </c>
      <c r="P116" s="580"/>
      <c r="Q116" s="580"/>
      <c r="R116" s="580"/>
      <c r="S116" s="580"/>
      <c r="T116" s="580"/>
      <c r="U116" s="580"/>
      <c r="V116" s="563"/>
      <c r="W116" s="581"/>
      <c r="X116" s="581"/>
      <c r="Y116" s="580"/>
      <c r="Z116" s="580"/>
      <c r="AA116" s="580"/>
      <c r="AB116" s="580"/>
      <c r="AC116" s="581"/>
      <c r="AD116" s="580"/>
      <c r="AE116" s="581"/>
      <c r="AF116" s="581"/>
      <c r="AG116" s="581"/>
      <c r="AH116" s="581"/>
      <c r="AI116" s="581"/>
      <c r="AJ116" s="580"/>
      <c r="AK116" s="580"/>
      <c r="AL116" s="580"/>
      <c r="AM116" s="580"/>
      <c r="AN116" s="580"/>
      <c r="AO116" s="580"/>
      <c r="AP116" s="580"/>
      <c r="AQ116" s="582"/>
      <c r="AR116" s="559"/>
    </row>
    <row r="117" spans="1:44" x14ac:dyDescent="0.35">
      <c r="A117" s="552">
        <v>111</v>
      </c>
      <c r="C117" s="583">
        <v>45707</v>
      </c>
      <c r="D117" s="584">
        <v>2720</v>
      </c>
      <c r="E117" s="35" t="s">
        <v>801</v>
      </c>
      <c r="F117" s="35" t="s">
        <v>802</v>
      </c>
      <c r="G117" s="1" t="s">
        <v>1102</v>
      </c>
      <c r="H117" s="563">
        <v>140.4</v>
      </c>
      <c r="I117" s="1230">
        <v>140.4</v>
      </c>
      <c r="J117" s="579">
        <f t="shared" si="4"/>
        <v>140.4</v>
      </c>
      <c r="K117" s="580">
        <v>0</v>
      </c>
      <c r="L117" s="580"/>
      <c r="M117" s="580"/>
      <c r="N117" s="580"/>
      <c r="O117" s="580"/>
      <c r="P117" s="580"/>
      <c r="Q117" s="580"/>
      <c r="R117" s="580"/>
      <c r="S117" s="580">
        <v>140.4</v>
      </c>
      <c r="T117" s="580"/>
      <c r="U117" s="580"/>
      <c r="V117" s="563"/>
      <c r="W117" s="581"/>
      <c r="X117" s="581"/>
      <c r="Y117" s="580"/>
      <c r="Z117" s="580"/>
      <c r="AA117" s="580"/>
      <c r="AB117" s="580"/>
      <c r="AC117" s="581"/>
      <c r="AD117" s="580"/>
      <c r="AE117" s="581"/>
      <c r="AF117" s="581"/>
      <c r="AG117" s="581"/>
      <c r="AH117" s="581"/>
      <c r="AI117" s="581"/>
      <c r="AJ117" s="580"/>
      <c r="AK117" s="580"/>
      <c r="AL117" s="580"/>
      <c r="AM117" s="580"/>
      <c r="AN117" s="580"/>
      <c r="AO117" s="580"/>
      <c r="AP117" s="580"/>
      <c r="AQ117" s="582"/>
      <c r="AR117" s="559"/>
    </row>
    <row r="118" spans="1:44" x14ac:dyDescent="0.35">
      <c r="A118" s="552">
        <v>112</v>
      </c>
      <c r="B118" s="550">
        <v>358672751</v>
      </c>
      <c r="C118" s="583">
        <v>45707</v>
      </c>
      <c r="D118" s="584" t="s">
        <v>810</v>
      </c>
      <c r="E118" s="35" t="s">
        <v>807</v>
      </c>
      <c r="F118" s="35" t="s">
        <v>1125</v>
      </c>
      <c r="G118" s="1" t="s">
        <v>1103</v>
      </c>
      <c r="H118" s="563">
        <v>0</v>
      </c>
      <c r="I118" s="1228">
        <v>0</v>
      </c>
      <c r="J118" s="579">
        <f t="shared" si="4"/>
        <v>0</v>
      </c>
      <c r="K118" s="580">
        <v>0</v>
      </c>
      <c r="L118" s="580"/>
      <c r="M118" s="580"/>
      <c r="N118" s="580"/>
      <c r="O118" s="580"/>
      <c r="P118" s="580"/>
      <c r="Q118" s="580"/>
      <c r="R118" s="580"/>
      <c r="S118" s="580"/>
      <c r="T118" s="580"/>
      <c r="U118" s="580"/>
      <c r="V118" s="563"/>
      <c r="W118" s="581"/>
      <c r="X118" s="581"/>
      <c r="Y118" s="580"/>
      <c r="Z118" s="580"/>
      <c r="AA118" s="580"/>
      <c r="AB118" s="580"/>
      <c r="AC118" s="581"/>
      <c r="AD118" s="580"/>
      <c r="AE118" s="581"/>
      <c r="AF118" s="581"/>
      <c r="AG118" s="581"/>
      <c r="AH118" s="581"/>
      <c r="AI118" s="581"/>
      <c r="AJ118" s="580"/>
      <c r="AK118" s="580"/>
      <c r="AL118" s="580"/>
      <c r="AM118" s="580"/>
      <c r="AN118" s="580"/>
      <c r="AO118" s="580"/>
      <c r="AP118" s="580"/>
      <c r="AQ118" s="582"/>
      <c r="AR118" s="559"/>
    </row>
    <row r="119" spans="1:44" x14ac:dyDescent="0.35">
      <c r="A119" s="552">
        <v>113</v>
      </c>
      <c r="C119" s="583">
        <v>45735</v>
      </c>
      <c r="D119" s="584">
        <v>2721</v>
      </c>
      <c r="E119" s="35" t="s">
        <v>791</v>
      </c>
      <c r="F119" s="35" t="s">
        <v>1104</v>
      </c>
      <c r="G119" s="1" t="s">
        <v>1105</v>
      </c>
      <c r="H119" s="563">
        <v>976.99</v>
      </c>
      <c r="I119" s="1228"/>
      <c r="J119" s="579">
        <f t="shared" si="4"/>
        <v>976.99</v>
      </c>
      <c r="K119" s="580">
        <v>0</v>
      </c>
      <c r="L119" s="580"/>
      <c r="M119" s="580">
        <v>976.99</v>
      </c>
      <c r="N119" s="580"/>
      <c r="O119" s="580"/>
      <c r="P119" s="580"/>
      <c r="Q119" s="580"/>
      <c r="R119" s="580"/>
      <c r="S119" s="580"/>
      <c r="T119" s="580"/>
      <c r="U119" s="580"/>
      <c r="V119" s="563"/>
      <c r="W119" s="581"/>
      <c r="X119" s="581"/>
      <c r="Y119" s="580"/>
      <c r="Z119" s="580"/>
      <c r="AA119" s="580"/>
      <c r="AB119" s="580"/>
      <c r="AC119" s="581"/>
      <c r="AD119" s="580"/>
      <c r="AE119" s="581"/>
      <c r="AF119" s="581"/>
      <c r="AG119" s="581"/>
      <c r="AH119" s="581"/>
      <c r="AI119" s="581"/>
      <c r="AJ119" s="580"/>
      <c r="AK119" s="580"/>
      <c r="AL119" s="580"/>
      <c r="AM119" s="580"/>
      <c r="AN119" s="580"/>
      <c r="AO119" s="580"/>
      <c r="AP119" s="580"/>
      <c r="AQ119" s="582"/>
      <c r="AR119" s="559"/>
    </row>
    <row r="120" spans="1:44" x14ac:dyDescent="0.35">
      <c r="A120">
        <v>114</v>
      </c>
      <c r="C120" s="583">
        <v>45735</v>
      </c>
      <c r="D120" s="584">
        <v>2721</v>
      </c>
      <c r="E120" s="35" t="s">
        <v>791</v>
      </c>
      <c r="F120" s="35" t="s">
        <v>1106</v>
      </c>
      <c r="G120" s="1" t="s">
        <v>1105</v>
      </c>
      <c r="H120" s="563">
        <v>26</v>
      </c>
      <c r="I120" s="1228"/>
      <c r="J120" s="579">
        <f t="shared" si="4"/>
        <v>26</v>
      </c>
      <c r="K120" s="580">
        <v>0</v>
      </c>
      <c r="L120" s="580"/>
      <c r="M120" s="580"/>
      <c r="N120" s="580"/>
      <c r="O120" s="580"/>
      <c r="P120" s="580"/>
      <c r="Q120" s="580"/>
      <c r="R120" s="580"/>
      <c r="S120" s="580"/>
      <c r="T120" s="580">
        <v>26</v>
      </c>
      <c r="U120" s="580"/>
      <c r="V120" s="563"/>
      <c r="W120" s="581"/>
      <c r="X120" s="581"/>
      <c r="Y120" s="580"/>
      <c r="Z120" s="580"/>
      <c r="AA120" s="580"/>
      <c r="AB120" s="580"/>
      <c r="AC120" s="581"/>
      <c r="AD120" s="580"/>
      <c r="AE120" s="581"/>
      <c r="AF120" s="581"/>
      <c r="AG120" s="581"/>
      <c r="AH120" s="581"/>
      <c r="AI120" s="581"/>
      <c r="AJ120" s="580"/>
      <c r="AK120" s="580"/>
      <c r="AL120" s="580"/>
      <c r="AM120" s="580"/>
      <c r="AN120" s="580"/>
      <c r="AO120" s="580"/>
      <c r="AP120" s="580"/>
      <c r="AQ120" s="582"/>
      <c r="AR120" s="559"/>
    </row>
    <row r="121" spans="1:44" x14ac:dyDescent="0.35">
      <c r="A121">
        <v>115</v>
      </c>
      <c r="B121" s="550">
        <v>207403052</v>
      </c>
      <c r="C121" s="583">
        <v>45735</v>
      </c>
      <c r="D121" s="584">
        <v>2721</v>
      </c>
      <c r="E121" s="35" t="s">
        <v>791</v>
      </c>
      <c r="F121" s="35" t="s">
        <v>1107</v>
      </c>
      <c r="G121" s="1" t="s">
        <v>1105</v>
      </c>
      <c r="H121" s="563">
        <v>363</v>
      </c>
      <c r="I121" s="1228"/>
      <c r="J121" s="579">
        <f t="shared" si="4"/>
        <v>363</v>
      </c>
      <c r="K121" s="580">
        <v>11.67</v>
      </c>
      <c r="L121" s="580"/>
      <c r="M121" s="580"/>
      <c r="N121" s="580"/>
      <c r="O121" s="580"/>
      <c r="P121" s="580"/>
      <c r="Q121" s="580"/>
      <c r="R121" s="580"/>
      <c r="S121" s="580"/>
      <c r="T121" s="580"/>
      <c r="U121" s="580"/>
      <c r="V121" s="563"/>
      <c r="W121" s="581">
        <v>351.33</v>
      </c>
      <c r="X121" s="581"/>
      <c r="Y121" s="580"/>
      <c r="Z121" s="580"/>
      <c r="AA121" s="580"/>
      <c r="AB121" s="580"/>
      <c r="AC121" s="581"/>
      <c r="AD121" s="580"/>
      <c r="AE121" s="581"/>
      <c r="AF121" s="581"/>
      <c r="AG121" s="581"/>
      <c r="AH121" s="581"/>
      <c r="AI121" s="581"/>
      <c r="AJ121" s="580"/>
      <c r="AK121" s="580"/>
      <c r="AL121" s="580"/>
      <c r="AM121" s="580"/>
      <c r="AN121" s="580"/>
      <c r="AO121" s="580"/>
      <c r="AP121" s="580"/>
      <c r="AQ121" s="582"/>
      <c r="AR121" s="559"/>
    </row>
    <row r="122" spans="1:44" x14ac:dyDescent="0.35">
      <c r="A122">
        <v>116</v>
      </c>
      <c r="B122" s="550">
        <v>635823528</v>
      </c>
      <c r="C122" s="583">
        <v>45735</v>
      </c>
      <c r="D122" s="584">
        <v>2721</v>
      </c>
      <c r="E122" s="35" t="s">
        <v>791</v>
      </c>
      <c r="F122" s="35" t="s">
        <v>1108</v>
      </c>
      <c r="G122" s="1" t="s">
        <v>1105</v>
      </c>
      <c r="H122" s="563">
        <v>752.14</v>
      </c>
      <c r="I122" s="1230">
        <f>SUM(H119:H122)</f>
        <v>2118.13</v>
      </c>
      <c r="J122" s="579">
        <f t="shared" si="4"/>
        <v>752.14</v>
      </c>
      <c r="K122" s="580">
        <v>125.36</v>
      </c>
      <c r="L122" s="580"/>
      <c r="M122" s="580"/>
      <c r="N122" s="580"/>
      <c r="O122" s="580"/>
      <c r="P122" s="580"/>
      <c r="Q122" s="580"/>
      <c r="R122" s="580"/>
      <c r="S122" s="580"/>
      <c r="T122" s="580"/>
      <c r="U122" s="580"/>
      <c r="V122" s="563"/>
      <c r="W122" s="581">
        <v>626.78</v>
      </c>
      <c r="X122" s="581"/>
      <c r="Y122" s="580"/>
      <c r="Z122" s="580"/>
      <c r="AA122" s="580"/>
      <c r="AB122" s="580"/>
      <c r="AC122" s="581"/>
      <c r="AD122" s="580"/>
      <c r="AE122" s="581"/>
      <c r="AF122" s="581"/>
      <c r="AG122" s="581"/>
      <c r="AH122" s="581"/>
      <c r="AI122" s="581"/>
      <c r="AJ122" s="580"/>
      <c r="AK122" s="580"/>
      <c r="AL122" s="580"/>
      <c r="AM122" s="580"/>
      <c r="AN122" s="580"/>
      <c r="AO122" s="580"/>
      <c r="AP122" s="580"/>
      <c r="AQ122" s="582"/>
      <c r="AR122" s="559"/>
    </row>
    <row r="123" spans="1:44" x14ac:dyDescent="0.35">
      <c r="A123" s="552">
        <v>117</v>
      </c>
      <c r="C123" s="583">
        <v>45735</v>
      </c>
      <c r="D123" s="584">
        <v>2722</v>
      </c>
      <c r="E123" s="35" t="s">
        <v>796</v>
      </c>
      <c r="F123" s="35" t="s">
        <v>1109</v>
      </c>
      <c r="G123" s="1" t="s">
        <v>1110</v>
      </c>
      <c r="H123" s="563">
        <v>349.4</v>
      </c>
      <c r="I123" s="1230">
        <v>349.4</v>
      </c>
      <c r="J123" s="579">
        <f t="shared" si="4"/>
        <v>349.40000000000003</v>
      </c>
      <c r="K123" s="580">
        <v>0</v>
      </c>
      <c r="L123" s="580"/>
      <c r="M123" s="580">
        <v>271.66000000000003</v>
      </c>
      <c r="N123" s="580">
        <v>77.739999999999995</v>
      </c>
      <c r="O123" s="580"/>
      <c r="P123" s="580"/>
      <c r="Q123" s="580"/>
      <c r="R123" s="580"/>
      <c r="S123" s="580"/>
      <c r="T123" s="580"/>
      <c r="U123" s="580"/>
      <c r="V123" s="563"/>
      <c r="W123" s="581"/>
      <c r="X123" s="581"/>
      <c r="Y123" s="580"/>
      <c r="Z123" s="580"/>
      <c r="AA123" s="580"/>
      <c r="AB123" s="580"/>
      <c r="AC123" s="581"/>
      <c r="AD123" s="580"/>
      <c r="AE123" s="581"/>
      <c r="AF123" s="581"/>
      <c r="AG123" s="581"/>
      <c r="AH123" s="581"/>
      <c r="AI123" s="581"/>
      <c r="AJ123" s="580"/>
      <c r="AK123" s="580"/>
      <c r="AL123" s="580"/>
      <c r="AM123" s="580"/>
      <c r="AN123" s="580"/>
      <c r="AO123" s="580"/>
      <c r="AP123" s="580"/>
      <c r="AQ123" s="582"/>
      <c r="AR123" s="559"/>
    </row>
    <row r="124" spans="1:44" x14ac:dyDescent="0.35">
      <c r="A124" s="552">
        <v>118</v>
      </c>
      <c r="C124" s="583">
        <v>45735</v>
      </c>
      <c r="D124" s="584">
        <v>2723</v>
      </c>
      <c r="E124" s="35" t="s">
        <v>799</v>
      </c>
      <c r="F124" s="35" t="s">
        <v>1111</v>
      </c>
      <c r="G124" s="1" t="s">
        <v>1112</v>
      </c>
      <c r="H124" s="563">
        <v>367.32</v>
      </c>
      <c r="I124" s="1346">
        <v>367.32</v>
      </c>
      <c r="J124" s="579">
        <f t="shared" si="4"/>
        <v>367.32</v>
      </c>
      <c r="K124" s="580">
        <v>0</v>
      </c>
      <c r="L124" s="580"/>
      <c r="M124" s="580">
        <v>72.67</v>
      </c>
      <c r="N124" s="580"/>
      <c r="O124" s="580">
        <v>294.64999999999998</v>
      </c>
      <c r="P124" s="580"/>
      <c r="Q124" s="580"/>
      <c r="R124" s="580"/>
      <c r="S124" s="580"/>
      <c r="T124" s="580"/>
      <c r="U124" s="580"/>
      <c r="V124" s="563"/>
      <c r="W124" s="581"/>
      <c r="X124" s="581"/>
      <c r="Y124" s="580"/>
      <c r="Z124" s="580"/>
      <c r="AA124" s="580"/>
      <c r="AB124" s="580"/>
      <c r="AC124" s="581"/>
      <c r="AD124" s="580"/>
      <c r="AE124" s="581"/>
      <c r="AF124" s="581"/>
      <c r="AG124" s="581"/>
      <c r="AH124" s="581"/>
      <c r="AI124" s="581"/>
      <c r="AJ124" s="580"/>
      <c r="AK124" s="580"/>
      <c r="AL124" s="580"/>
      <c r="AM124" s="580"/>
      <c r="AN124" s="580"/>
      <c r="AO124" s="580"/>
      <c r="AP124" s="580"/>
      <c r="AQ124" s="582"/>
      <c r="AR124" s="559"/>
    </row>
    <row r="125" spans="1:44" x14ac:dyDescent="0.35">
      <c r="A125" s="552">
        <v>119</v>
      </c>
      <c r="B125" s="550">
        <v>131254412</v>
      </c>
      <c r="C125" s="583">
        <v>45735</v>
      </c>
      <c r="D125" s="584">
        <v>2724</v>
      </c>
      <c r="E125" s="35" t="s">
        <v>829</v>
      </c>
      <c r="F125" s="35" t="s">
        <v>1117</v>
      </c>
      <c r="G125" s="1" t="s">
        <v>1113</v>
      </c>
      <c r="H125" s="563">
        <v>3411.89</v>
      </c>
      <c r="I125" s="1346">
        <v>3411.89</v>
      </c>
      <c r="J125" s="579">
        <f t="shared" si="4"/>
        <v>3411.89</v>
      </c>
      <c r="K125" s="580">
        <v>568.65</v>
      </c>
      <c r="L125" s="580"/>
      <c r="M125" s="580"/>
      <c r="N125" s="580"/>
      <c r="O125" s="580"/>
      <c r="P125" s="580"/>
      <c r="Q125" s="580"/>
      <c r="R125" s="580"/>
      <c r="S125" s="580"/>
      <c r="T125" s="580"/>
      <c r="U125" s="580"/>
      <c r="V125" s="563"/>
      <c r="W125" s="581"/>
      <c r="X125" s="581"/>
      <c r="Y125" s="580"/>
      <c r="Z125" s="580"/>
      <c r="AA125" s="580"/>
      <c r="AB125" s="580">
        <v>2843.24</v>
      </c>
      <c r="AC125" s="581"/>
      <c r="AD125" s="580"/>
      <c r="AE125" s="581"/>
      <c r="AF125" s="581"/>
      <c r="AG125" s="581"/>
      <c r="AH125" s="581"/>
      <c r="AI125" s="581"/>
      <c r="AJ125" s="580"/>
      <c r="AK125" s="580"/>
      <c r="AL125" s="580"/>
      <c r="AM125" s="580"/>
      <c r="AN125" s="580"/>
      <c r="AO125" s="580"/>
      <c r="AP125" s="580"/>
      <c r="AQ125" s="582"/>
      <c r="AR125" s="559"/>
    </row>
    <row r="126" spans="1:44" x14ac:dyDescent="0.35">
      <c r="A126">
        <v>120</v>
      </c>
      <c r="B126" s="550">
        <v>0</v>
      </c>
      <c r="C126" s="583">
        <v>45735</v>
      </c>
      <c r="D126" s="584">
        <v>2725</v>
      </c>
      <c r="E126" s="35" t="s">
        <v>1114</v>
      </c>
      <c r="F126" s="35" t="s">
        <v>1115</v>
      </c>
      <c r="G126" s="1" t="s">
        <v>1116</v>
      </c>
      <c r="H126" s="563">
        <v>797.54</v>
      </c>
      <c r="I126" s="1346">
        <v>797.54</v>
      </c>
      <c r="J126" s="579">
        <f t="shared" si="4"/>
        <v>797.54</v>
      </c>
      <c r="K126" s="580">
        <v>0</v>
      </c>
      <c r="L126" s="580"/>
      <c r="M126" s="580"/>
      <c r="N126" s="580"/>
      <c r="O126" s="580"/>
      <c r="P126" s="580"/>
      <c r="Q126" s="580"/>
      <c r="R126" s="580"/>
      <c r="S126" s="580"/>
      <c r="T126" s="580"/>
      <c r="U126" s="580"/>
      <c r="V126" s="563"/>
      <c r="W126" s="581"/>
      <c r="X126" s="581"/>
      <c r="Y126" s="580"/>
      <c r="Z126" s="580"/>
      <c r="AA126" s="580">
        <v>398.77</v>
      </c>
      <c r="AB126" s="580"/>
      <c r="AC126" s="581"/>
      <c r="AD126" s="580"/>
      <c r="AE126" s="581"/>
      <c r="AF126" s="581"/>
      <c r="AG126" s="581"/>
      <c r="AH126" s="581"/>
      <c r="AI126" s="581"/>
      <c r="AJ126" s="580">
        <v>398.77</v>
      </c>
      <c r="AK126" s="580"/>
      <c r="AL126" s="580"/>
      <c r="AM126" s="580"/>
      <c r="AN126" s="580"/>
      <c r="AO126" s="580"/>
      <c r="AP126" s="580"/>
      <c r="AQ126" s="582"/>
      <c r="AR126" s="559"/>
    </row>
    <row r="127" spans="1:44" x14ac:dyDescent="0.35">
      <c r="A127" s="552">
        <v>121</v>
      </c>
      <c r="C127" s="583">
        <v>45735</v>
      </c>
      <c r="D127" s="584">
        <v>2726</v>
      </c>
      <c r="E127" s="35" t="s">
        <v>943</v>
      </c>
      <c r="F127" s="35" t="s">
        <v>1175</v>
      </c>
      <c r="G127" s="1" t="s">
        <v>1118</v>
      </c>
      <c r="H127" s="563">
        <v>44.34</v>
      </c>
      <c r="I127" s="1346">
        <v>44.34</v>
      </c>
      <c r="J127" s="579">
        <f t="shared" si="4"/>
        <v>44.34</v>
      </c>
      <c r="K127" s="580">
        <v>0</v>
      </c>
      <c r="L127" s="580"/>
      <c r="M127" s="580"/>
      <c r="N127" s="580"/>
      <c r="O127" s="580"/>
      <c r="P127" s="580"/>
      <c r="Q127" s="580"/>
      <c r="R127" s="580"/>
      <c r="S127" s="580"/>
      <c r="T127" s="580"/>
      <c r="U127" s="580"/>
      <c r="V127" s="563"/>
      <c r="W127" s="581"/>
      <c r="X127" s="581"/>
      <c r="Y127" s="580"/>
      <c r="Z127" s="580"/>
      <c r="AA127" s="580"/>
      <c r="AB127" s="580"/>
      <c r="AC127" s="581"/>
      <c r="AD127" s="580"/>
      <c r="AE127" s="581"/>
      <c r="AF127" s="581"/>
      <c r="AG127" s="581"/>
      <c r="AH127" s="581">
        <v>44.34</v>
      </c>
      <c r="AI127" s="581"/>
      <c r="AJ127" s="580"/>
      <c r="AK127" s="580"/>
      <c r="AL127" s="580"/>
      <c r="AM127" s="580"/>
      <c r="AN127" s="580"/>
      <c r="AO127" s="580"/>
      <c r="AP127" s="580"/>
      <c r="AQ127" s="582"/>
      <c r="AR127" s="559"/>
    </row>
    <row r="128" spans="1:44" x14ac:dyDescent="0.35">
      <c r="A128" s="552">
        <v>122</v>
      </c>
      <c r="C128" s="583">
        <v>45735</v>
      </c>
      <c r="D128" s="584">
        <v>2727</v>
      </c>
      <c r="E128" s="35" t="s">
        <v>1128</v>
      </c>
      <c r="F128" s="35" t="s">
        <v>1129</v>
      </c>
      <c r="G128" s="1" t="s">
        <v>1119</v>
      </c>
      <c r="H128" s="563">
        <v>150</v>
      </c>
      <c r="I128" s="1230">
        <v>150</v>
      </c>
      <c r="J128" s="579">
        <f t="shared" si="4"/>
        <v>150</v>
      </c>
      <c r="K128" s="580">
        <v>0</v>
      </c>
      <c r="L128" s="580"/>
      <c r="M128" s="580"/>
      <c r="N128" s="580"/>
      <c r="O128" s="580"/>
      <c r="P128" s="580"/>
      <c r="Q128" s="580"/>
      <c r="R128" s="580"/>
      <c r="S128" s="580"/>
      <c r="T128" s="580"/>
      <c r="U128" s="580"/>
      <c r="V128" s="563"/>
      <c r="W128" s="581"/>
      <c r="X128" s="581"/>
      <c r="Y128" s="580"/>
      <c r="Z128" s="580"/>
      <c r="AA128" s="580"/>
      <c r="AB128" s="580"/>
      <c r="AC128" s="581"/>
      <c r="AD128" s="580"/>
      <c r="AE128" s="581"/>
      <c r="AF128" s="581"/>
      <c r="AG128" s="581"/>
      <c r="AH128" s="581"/>
      <c r="AI128" s="581"/>
      <c r="AJ128" s="580"/>
      <c r="AK128" s="580"/>
      <c r="AL128" s="580"/>
      <c r="AM128" s="580"/>
      <c r="AN128" s="580"/>
      <c r="AO128" s="580"/>
      <c r="AP128" s="580"/>
      <c r="AQ128" s="582">
        <v>150</v>
      </c>
      <c r="AR128" s="559"/>
    </row>
    <row r="129" spans="1:46" x14ac:dyDescent="0.35">
      <c r="A129" s="552">
        <v>123</v>
      </c>
      <c r="C129" s="583">
        <v>45735</v>
      </c>
      <c r="D129" s="584">
        <v>2728</v>
      </c>
      <c r="E129" s="35" t="s">
        <v>1132</v>
      </c>
      <c r="F129" s="35" t="s">
        <v>1133</v>
      </c>
      <c r="G129" s="1" t="s">
        <v>1130</v>
      </c>
      <c r="H129" s="563">
        <v>144</v>
      </c>
      <c r="I129" s="1346">
        <v>144</v>
      </c>
      <c r="J129" s="579">
        <f t="shared" si="4"/>
        <v>144</v>
      </c>
      <c r="K129" s="580">
        <v>24</v>
      </c>
      <c r="L129" s="580"/>
      <c r="M129" s="580"/>
      <c r="N129" s="580"/>
      <c r="O129" s="580"/>
      <c r="P129" s="580"/>
      <c r="Q129" s="580"/>
      <c r="R129" s="580"/>
      <c r="S129" s="580"/>
      <c r="T129" s="580"/>
      <c r="U129" s="580"/>
      <c r="V129" s="563"/>
      <c r="W129" s="581"/>
      <c r="X129" s="581"/>
      <c r="Y129" s="580"/>
      <c r="Z129" s="580"/>
      <c r="AA129" s="580"/>
      <c r="AB129" s="580"/>
      <c r="AC129" s="581"/>
      <c r="AD129" s="580">
        <v>120</v>
      </c>
      <c r="AE129" s="581"/>
      <c r="AF129" s="581"/>
      <c r="AG129" s="581"/>
      <c r="AH129" s="581"/>
      <c r="AI129" s="581"/>
      <c r="AJ129" s="580"/>
      <c r="AK129" s="580"/>
      <c r="AL129" s="580"/>
      <c r="AM129" s="580"/>
      <c r="AN129" s="580"/>
      <c r="AO129" s="580"/>
      <c r="AP129" s="580"/>
      <c r="AQ129" s="582"/>
      <c r="AR129" s="559"/>
    </row>
    <row r="130" spans="1:46" x14ac:dyDescent="0.35">
      <c r="A130">
        <v>124</v>
      </c>
      <c r="C130" s="583">
        <v>45735</v>
      </c>
      <c r="D130" s="584">
        <v>2729</v>
      </c>
      <c r="E130" s="35" t="s">
        <v>875</v>
      </c>
      <c r="F130" s="35" t="s">
        <v>1131</v>
      </c>
      <c r="G130" s="1" t="s">
        <v>1134</v>
      </c>
      <c r="H130" s="563">
        <v>212.5</v>
      </c>
      <c r="I130" s="1230">
        <v>212.5</v>
      </c>
      <c r="J130" s="579">
        <f t="shared" si="4"/>
        <v>212.5</v>
      </c>
      <c r="K130" s="580">
        <v>0</v>
      </c>
      <c r="L130" s="580"/>
      <c r="M130" s="580"/>
      <c r="N130" s="580"/>
      <c r="O130" s="580"/>
      <c r="P130" s="580"/>
      <c r="Q130" s="580"/>
      <c r="R130" s="580"/>
      <c r="S130" s="580"/>
      <c r="T130" s="580"/>
      <c r="U130" s="580"/>
      <c r="V130" s="563"/>
      <c r="W130" s="581"/>
      <c r="X130" s="581"/>
      <c r="Y130" s="580"/>
      <c r="Z130" s="580"/>
      <c r="AA130" s="580"/>
      <c r="AB130" s="580"/>
      <c r="AC130" s="581"/>
      <c r="AD130" s="580"/>
      <c r="AE130" s="581"/>
      <c r="AF130" s="581">
        <v>212.5</v>
      </c>
      <c r="AG130" s="581"/>
      <c r="AH130" s="581"/>
      <c r="AI130" s="581"/>
      <c r="AJ130" s="580"/>
      <c r="AK130" s="580"/>
      <c r="AL130" s="580"/>
      <c r="AM130" s="580"/>
      <c r="AN130" s="580"/>
      <c r="AO130" s="580"/>
      <c r="AP130" s="580"/>
      <c r="AQ130" s="582"/>
      <c r="AR130" s="559"/>
    </row>
    <row r="131" spans="1:46" x14ac:dyDescent="0.35">
      <c r="A131">
        <v>125</v>
      </c>
      <c r="C131" s="583">
        <v>45735</v>
      </c>
      <c r="D131" s="584">
        <v>2730</v>
      </c>
      <c r="E131" s="35" t="s">
        <v>939</v>
      </c>
      <c r="F131" s="35" t="s">
        <v>1135</v>
      </c>
      <c r="G131" s="1" t="s">
        <v>1164</v>
      </c>
      <c r="H131" s="563">
        <v>175</v>
      </c>
      <c r="I131" s="1230">
        <v>175</v>
      </c>
      <c r="J131" s="579">
        <f t="shared" si="4"/>
        <v>175</v>
      </c>
      <c r="K131" s="580">
        <v>0</v>
      </c>
      <c r="L131" s="580"/>
      <c r="M131" s="580"/>
      <c r="N131" s="580"/>
      <c r="O131" s="580"/>
      <c r="P131" s="580"/>
      <c r="Q131" s="580"/>
      <c r="R131" s="580"/>
      <c r="S131" s="580"/>
      <c r="T131" s="580"/>
      <c r="U131" s="580"/>
      <c r="V131" s="563"/>
      <c r="W131" s="581"/>
      <c r="X131" s="581"/>
      <c r="Y131" s="580"/>
      <c r="Z131" s="580"/>
      <c r="AA131" s="580"/>
      <c r="AB131" s="580"/>
      <c r="AC131" s="581">
        <v>175</v>
      </c>
      <c r="AD131" s="580"/>
      <c r="AE131" s="581"/>
      <c r="AF131" s="581"/>
      <c r="AG131" s="581"/>
      <c r="AH131" s="581"/>
      <c r="AI131" s="581"/>
      <c r="AJ131" s="580"/>
      <c r="AK131" s="580"/>
      <c r="AL131" s="580"/>
      <c r="AM131" s="580"/>
      <c r="AN131" s="580"/>
      <c r="AO131" s="580"/>
      <c r="AP131" s="580"/>
      <c r="AQ131" s="582"/>
      <c r="AR131" s="559"/>
    </row>
    <row r="132" spans="1:46" ht="15" thickBot="1" x14ac:dyDescent="0.4">
      <c r="C132" s="583"/>
      <c r="D132" s="586"/>
      <c r="E132" s="587"/>
      <c r="F132" s="587"/>
      <c r="G132" s="587"/>
      <c r="H132" s="587">
        <f t="shared" ref="H132:AJ132" si="5">SUM(H7:H131)</f>
        <v>39258.299999999996</v>
      </c>
      <c r="I132" s="587">
        <f t="shared" si="5"/>
        <v>39258.300000000003</v>
      </c>
      <c r="J132" s="587">
        <f t="shared" si="5"/>
        <v>39258.299999999996</v>
      </c>
      <c r="K132" s="587">
        <f t="shared" si="5"/>
        <v>1654.1999999999998</v>
      </c>
      <c r="L132" s="587">
        <f t="shared" si="5"/>
        <v>0</v>
      </c>
      <c r="M132" s="1250">
        <f t="shared" si="5"/>
        <v>15737.079999999998</v>
      </c>
      <c r="N132" s="1250">
        <f t="shared" si="5"/>
        <v>916.45</v>
      </c>
      <c r="O132" s="1250">
        <f t="shared" si="5"/>
        <v>3509.3600000000006</v>
      </c>
      <c r="P132" s="587">
        <f t="shared" si="5"/>
        <v>0</v>
      </c>
      <c r="Q132" s="587">
        <f t="shared" si="5"/>
        <v>0</v>
      </c>
      <c r="R132" s="1250">
        <f t="shared" si="5"/>
        <v>361.5</v>
      </c>
      <c r="S132" s="1250">
        <f t="shared" si="5"/>
        <v>140.4</v>
      </c>
      <c r="T132" s="1250">
        <f t="shared" si="5"/>
        <v>312</v>
      </c>
      <c r="U132" s="1250">
        <f t="shared" si="5"/>
        <v>242.62</v>
      </c>
      <c r="V132" s="1250">
        <f t="shared" si="5"/>
        <v>254.29</v>
      </c>
      <c r="W132" s="587">
        <f t="shared" si="5"/>
        <v>978.1099999999999</v>
      </c>
      <c r="X132" s="1250">
        <f t="shared" si="5"/>
        <v>118</v>
      </c>
      <c r="Y132" s="1250">
        <f t="shared" si="5"/>
        <v>480</v>
      </c>
      <c r="Z132" s="587">
        <f t="shared" si="5"/>
        <v>3539</v>
      </c>
      <c r="AA132" s="587">
        <f t="shared" si="5"/>
        <v>398.77</v>
      </c>
      <c r="AB132" s="1250">
        <f t="shared" si="5"/>
        <v>3908.95</v>
      </c>
      <c r="AC132" s="1250">
        <f t="shared" si="5"/>
        <v>1378.2</v>
      </c>
      <c r="AD132" s="1250">
        <f t="shared" si="5"/>
        <v>173.99</v>
      </c>
      <c r="AE132" s="1250">
        <f t="shared" si="5"/>
        <v>0</v>
      </c>
      <c r="AF132" s="1250">
        <f t="shared" si="5"/>
        <v>620.5</v>
      </c>
      <c r="AG132" s="1250">
        <f t="shared" si="5"/>
        <v>305.89999999999998</v>
      </c>
      <c r="AH132" s="1250">
        <f t="shared" si="5"/>
        <v>98.03</v>
      </c>
      <c r="AI132" s="1250">
        <f t="shared" si="5"/>
        <v>0</v>
      </c>
      <c r="AJ132" s="1250">
        <f t="shared" si="5"/>
        <v>924.75</v>
      </c>
      <c r="AK132" s="587">
        <f t="shared" ref="AK132:AQ132" si="6">SUM(AK7:AK131)</f>
        <v>0</v>
      </c>
      <c r="AL132" s="1250">
        <f t="shared" si="6"/>
        <v>334.03999999999996</v>
      </c>
      <c r="AM132" s="587">
        <f t="shared" si="6"/>
        <v>103.25</v>
      </c>
      <c r="AN132" s="1250">
        <f t="shared" si="6"/>
        <v>633.75</v>
      </c>
      <c r="AO132" s="1250">
        <f t="shared" si="6"/>
        <v>1773.1599999999996</v>
      </c>
      <c r="AP132" s="1250">
        <f t="shared" si="6"/>
        <v>212</v>
      </c>
      <c r="AQ132" s="1250">
        <f t="shared" si="6"/>
        <v>150</v>
      </c>
      <c r="AR132" s="36"/>
      <c r="AS132" s="36"/>
      <c r="AT132" s="36"/>
    </row>
    <row r="133" spans="1:46" ht="15" thickTop="1" x14ac:dyDescent="0.35">
      <c r="C133" s="588"/>
      <c r="D133" s="586"/>
      <c r="E133" s="35"/>
      <c r="F133" s="35"/>
      <c r="H133" s="585"/>
      <c r="I133" s="589"/>
      <c r="J133" s="590"/>
      <c r="K133" s="37"/>
      <c r="L133" s="37"/>
      <c r="M133" s="38"/>
      <c r="N133" s="38"/>
      <c r="O133" s="38"/>
      <c r="P133" s="38"/>
      <c r="Q133" s="38"/>
      <c r="R133" s="38"/>
      <c r="S133" s="38"/>
      <c r="T133" s="38"/>
      <c r="U133" s="38"/>
      <c r="V133" s="38"/>
      <c r="W133" s="591"/>
      <c r="X133" s="591"/>
      <c r="Y133" s="38"/>
      <c r="Z133" s="38"/>
      <c r="AA133" s="38"/>
      <c r="AB133" s="38"/>
      <c r="AC133" s="591"/>
      <c r="AD133" s="38"/>
      <c r="AE133" s="38"/>
      <c r="AF133" s="38">
        <f>SUM(AE132:AI132)</f>
        <v>1024.43</v>
      </c>
      <c r="AG133" s="38"/>
      <c r="AH133" s="38"/>
      <c r="AI133" s="38"/>
      <c r="AJ133" s="38"/>
      <c r="AK133" s="591"/>
      <c r="AL133" s="591"/>
      <c r="AM133" s="38"/>
      <c r="AN133" s="591"/>
      <c r="AO133" s="591"/>
      <c r="AP133" s="591"/>
      <c r="AQ133" s="592"/>
      <c r="AR133" s="36"/>
      <c r="AS133" s="36"/>
      <c r="AT133" s="36"/>
    </row>
    <row r="134" spans="1:46" ht="15" thickBot="1" x14ac:dyDescent="0.4">
      <c r="C134" s="593"/>
      <c r="D134" s="594"/>
      <c r="E134" s="595"/>
      <c r="F134" s="595"/>
      <c r="G134" s="596"/>
      <c r="H134" s="597"/>
      <c r="I134" s="598"/>
      <c r="J134" s="599"/>
      <c r="K134" s="600"/>
      <c r="L134" s="600"/>
      <c r="M134" s="601"/>
      <c r="N134" s="601"/>
      <c r="O134" s="601"/>
      <c r="P134" s="601"/>
      <c r="Q134" s="601"/>
      <c r="R134" s="601"/>
      <c r="S134" s="601"/>
      <c r="T134" s="601"/>
      <c r="U134" s="601"/>
      <c r="V134" s="601"/>
      <c r="W134" s="602"/>
      <c r="X134" s="602"/>
      <c r="Y134" s="601"/>
      <c r="Z134" s="601"/>
      <c r="AA134" s="601"/>
      <c r="AB134" s="601"/>
      <c r="AC134" s="602"/>
      <c r="AD134" s="601"/>
      <c r="AE134" s="601"/>
      <c r="AF134" s="601"/>
      <c r="AG134" s="601"/>
      <c r="AH134" s="601"/>
      <c r="AI134" s="601"/>
      <c r="AJ134" s="603"/>
      <c r="AK134" s="602"/>
      <c r="AL134" s="602"/>
      <c r="AM134" s="601"/>
      <c r="AN134" s="602"/>
      <c r="AO134" s="602"/>
      <c r="AP134" s="602"/>
      <c r="AQ134" s="604">
        <f>SUM(K132:AQ132)</f>
        <v>39258.299999999996</v>
      </c>
      <c r="AR134" s="36"/>
      <c r="AS134" s="36"/>
      <c r="AT134" s="36"/>
    </row>
    <row r="135" spans="1:46" x14ac:dyDescent="0.35">
      <c r="C135" s="39"/>
      <c r="D135" s="586"/>
      <c r="E135" s="35"/>
      <c r="F135" s="35"/>
      <c r="H135" s="585"/>
      <c r="I135" s="591"/>
      <c r="J135" s="591"/>
      <c r="K135" s="37"/>
      <c r="L135" s="37"/>
      <c r="M135" s="38"/>
      <c r="N135" s="38"/>
      <c r="O135" s="38"/>
      <c r="P135" s="38"/>
      <c r="Q135" s="38"/>
      <c r="R135" s="38"/>
      <c r="S135" s="38"/>
      <c r="T135" s="38"/>
      <c r="U135" s="38"/>
      <c r="V135" s="38"/>
      <c r="W135" s="591"/>
      <c r="X135" s="591"/>
      <c r="Y135" s="38"/>
      <c r="Z135" s="38"/>
      <c r="AA135" s="38"/>
      <c r="AB135" s="38"/>
      <c r="AC135" s="591"/>
      <c r="AD135" s="38"/>
      <c r="AE135" s="38"/>
      <c r="AF135" s="38"/>
      <c r="AG135" s="38"/>
      <c r="AH135" s="38"/>
      <c r="AI135" s="38"/>
      <c r="AJ135" s="36"/>
      <c r="AK135" s="591"/>
      <c r="AL135" s="591"/>
      <c r="AM135" s="38"/>
      <c r="AN135" s="591"/>
      <c r="AO135" s="591"/>
      <c r="AP135" s="591"/>
      <c r="AQ135" s="37"/>
      <c r="AR135" s="36"/>
      <c r="AS135" s="36"/>
      <c r="AT135" s="36"/>
    </row>
    <row r="136" spans="1:46" ht="15" thickBot="1" x14ac:dyDescent="0.4">
      <c r="C136" s="35" t="s">
        <v>73</v>
      </c>
      <c r="D136" s="586"/>
      <c r="I136" s="605">
        <f>I132</f>
        <v>39258.300000000003</v>
      </c>
      <c r="J136" s="1189" t="s">
        <v>768</v>
      </c>
      <c r="K136" s="1190" t="s">
        <v>59</v>
      </c>
      <c r="L136" s="1190">
        <f>M132+N132+O132</f>
        <v>20162.89</v>
      </c>
      <c r="M136" s="38"/>
      <c r="N136" s="38"/>
      <c r="O136" s="38"/>
      <c r="P136" s="38"/>
      <c r="Q136" s="38"/>
      <c r="R136" s="38"/>
      <c r="S136" s="38"/>
      <c r="T136" s="38"/>
      <c r="U136" s="38"/>
      <c r="V136" s="38"/>
      <c r="W136" s="591"/>
      <c r="X136" s="591"/>
      <c r="Y136" s="38"/>
      <c r="Z136" s="38"/>
      <c r="AA136" s="38"/>
      <c r="AB136" s="38"/>
      <c r="AC136" s="591"/>
      <c r="AD136" s="38"/>
      <c r="AE136" s="38"/>
      <c r="AF136" s="38"/>
      <c r="AG136" s="38"/>
      <c r="AH136" s="38"/>
      <c r="AI136" s="1249" t="s">
        <v>134</v>
      </c>
      <c r="AJ136" s="1251">
        <f>SUM(AE132:AJ132)</f>
        <v>1949.18</v>
      </c>
      <c r="AK136" s="591"/>
      <c r="AL136" s="591"/>
      <c r="AM136" s="38"/>
      <c r="AN136" s="591"/>
      <c r="AO136" s="591"/>
      <c r="AP136" s="591"/>
      <c r="AQ136" s="37">
        <f>AQ134-I136</f>
        <v>0</v>
      </c>
      <c r="AR136" s="36"/>
      <c r="AS136" s="36"/>
      <c r="AT136" s="36"/>
    </row>
    <row r="137" spans="1:46" ht="15" thickTop="1" x14ac:dyDescent="0.35">
      <c r="C137" s="35"/>
      <c r="D137" s="586"/>
      <c r="F137" s="606"/>
      <c r="H137" s="585"/>
      <c r="I137" s="591"/>
      <c r="J137" s="1189"/>
      <c r="K137" s="1190" t="s">
        <v>58</v>
      </c>
      <c r="L137" s="37">
        <f>K132</f>
        <v>1654.1999999999998</v>
      </c>
      <c r="M137" s="38"/>
      <c r="N137" s="38"/>
      <c r="O137" s="38"/>
      <c r="P137" s="38"/>
      <c r="Q137" s="38"/>
      <c r="R137" s="38"/>
      <c r="S137" s="38"/>
      <c r="T137" s="38"/>
      <c r="U137" s="38"/>
      <c r="V137" s="38"/>
      <c r="W137" s="591"/>
      <c r="X137" s="591"/>
      <c r="Y137" s="38"/>
      <c r="Z137" s="38"/>
      <c r="AA137" s="38"/>
      <c r="AB137" s="38"/>
      <c r="AC137" s="591"/>
      <c r="AD137" s="38"/>
      <c r="AE137" s="38"/>
      <c r="AF137" s="38"/>
      <c r="AG137" s="38"/>
      <c r="AH137" s="38"/>
      <c r="AI137" s="38"/>
      <c r="AJ137" s="38"/>
      <c r="AK137" s="591"/>
      <c r="AL137" s="591"/>
      <c r="AM137" s="38"/>
      <c r="AN137" s="591"/>
      <c r="AO137" s="591"/>
      <c r="AP137" s="591"/>
      <c r="AQ137" s="37"/>
      <c r="AR137" s="36"/>
      <c r="AS137" s="36"/>
      <c r="AT137" s="36"/>
    </row>
    <row r="138" spans="1:46" x14ac:dyDescent="0.35">
      <c r="C138" s="35" t="s">
        <v>74</v>
      </c>
      <c r="D138" s="586"/>
      <c r="I138" s="606">
        <f>K132</f>
        <v>1654.1999999999998</v>
      </c>
      <c r="J138" s="1189"/>
      <c r="K138" s="1190" t="s">
        <v>767</v>
      </c>
      <c r="L138" s="37">
        <f>SUM(P132:AQ132)</f>
        <v>17441.21</v>
      </c>
      <c r="M138" s="38"/>
      <c r="N138" s="38"/>
      <c r="O138" s="38"/>
      <c r="P138" s="38"/>
      <c r="Q138" s="38"/>
      <c r="R138" s="38"/>
      <c r="S138" s="38"/>
      <c r="T138" s="38"/>
      <c r="U138" s="38"/>
      <c r="V138" s="38"/>
      <c r="W138" s="591"/>
      <c r="X138" s="591"/>
      <c r="Y138" s="38"/>
      <c r="Z138" s="38"/>
      <c r="AA138" s="38"/>
      <c r="AB138" s="38"/>
      <c r="AC138" s="591"/>
      <c r="AD138" s="38"/>
      <c r="AE138" s="38"/>
      <c r="AF138" s="38"/>
      <c r="AG138" s="38"/>
      <c r="AH138" s="38"/>
      <c r="AI138" s="38"/>
      <c r="AJ138" s="38"/>
      <c r="AK138" s="591"/>
      <c r="AL138" s="591"/>
      <c r="AM138" s="38"/>
      <c r="AN138" s="591"/>
      <c r="AO138" s="591"/>
      <c r="AP138" s="591"/>
      <c r="AQ138" s="37"/>
      <c r="AR138" s="36"/>
      <c r="AS138" s="36"/>
      <c r="AT138" s="36"/>
    </row>
    <row r="139" spans="1:46" x14ac:dyDescent="0.35">
      <c r="C139" s="35" t="s">
        <v>223</v>
      </c>
      <c r="D139" s="586"/>
      <c r="I139" s="606">
        <f>Z132</f>
        <v>3539</v>
      </c>
      <c r="J139" s="1189"/>
      <c r="K139" s="1190" t="s">
        <v>766</v>
      </c>
      <c r="L139" s="37">
        <f>'Unity Trust Bank'!H20</f>
        <v>36</v>
      </c>
      <c r="M139" s="38"/>
      <c r="N139" s="38"/>
      <c r="O139" s="38"/>
      <c r="P139" s="38"/>
      <c r="Q139" s="38"/>
      <c r="R139" s="38"/>
      <c r="S139" s="38"/>
      <c r="T139" s="38"/>
      <c r="U139" s="38"/>
      <c r="V139" s="38"/>
      <c r="W139" s="591"/>
      <c r="X139" s="591"/>
      <c r="Y139" s="38"/>
      <c r="Z139" s="38"/>
      <c r="AA139" s="38"/>
      <c r="AB139" s="38"/>
      <c r="AC139" s="591"/>
      <c r="AD139" s="38"/>
      <c r="AE139" s="38"/>
      <c r="AF139" s="38"/>
      <c r="AG139" s="38"/>
      <c r="AH139" s="38"/>
      <c r="AI139" s="38"/>
      <c r="AJ139" s="38"/>
      <c r="AK139" s="591"/>
      <c r="AL139" s="591"/>
      <c r="AM139" s="38"/>
      <c r="AN139" s="591"/>
      <c r="AO139" s="591"/>
      <c r="AP139" s="591"/>
      <c r="AQ139" s="37"/>
      <c r="AR139" s="36"/>
      <c r="AS139" s="36"/>
      <c r="AT139" s="36"/>
    </row>
    <row r="140" spans="1:46" x14ac:dyDescent="0.35">
      <c r="C140" s="35" t="s">
        <v>1009</v>
      </c>
      <c r="D140" s="586"/>
      <c r="F140" s="606"/>
      <c r="H140" s="607"/>
      <c r="I140" s="591">
        <f>'Unity Trust Bank'!H20</f>
        <v>36</v>
      </c>
      <c r="J140" s="1189"/>
      <c r="K140" s="1190" t="s">
        <v>765</v>
      </c>
      <c r="L140" s="1190">
        <f>SUM(L137:L139)</f>
        <v>19131.41</v>
      </c>
      <c r="M140" s="38"/>
      <c r="N140" s="38"/>
      <c r="O140" s="38"/>
      <c r="P140" s="38"/>
      <c r="Q140" s="38"/>
      <c r="R140" s="38"/>
      <c r="S140" s="38"/>
      <c r="T140" s="38"/>
      <c r="U140" s="38"/>
      <c r="V140" s="38"/>
      <c r="W140" s="591"/>
      <c r="X140" s="591"/>
      <c r="Y140" s="38"/>
      <c r="Z140" s="38"/>
      <c r="AA140" s="38"/>
      <c r="AB140" s="38"/>
      <c r="AC140" s="591"/>
      <c r="AD140" s="38"/>
      <c r="AE140" s="38"/>
      <c r="AF140" s="38"/>
      <c r="AG140" s="38"/>
      <c r="AH140" s="38"/>
      <c r="AI140" s="38"/>
      <c r="AJ140" s="38"/>
      <c r="AK140" s="591"/>
      <c r="AL140" s="591"/>
      <c r="AM140" s="38"/>
      <c r="AN140" s="591"/>
      <c r="AO140" s="591"/>
      <c r="AP140" s="591"/>
      <c r="AQ140" s="37"/>
      <c r="AR140" s="36"/>
      <c r="AS140" s="36"/>
      <c r="AT140" s="36"/>
    </row>
    <row r="141" spans="1:46" ht="15" thickBot="1" x14ac:dyDescent="0.4">
      <c r="C141" s="35" t="s">
        <v>75</v>
      </c>
      <c r="D141" s="586"/>
      <c r="I141" s="605">
        <f>I136-I138-I139+I140</f>
        <v>34101.100000000006</v>
      </c>
      <c r="J141" s="591"/>
      <c r="K141" s="37"/>
      <c r="L141" s="37"/>
      <c r="M141" s="38"/>
      <c r="N141" s="38"/>
      <c r="O141" s="38"/>
      <c r="P141" s="38"/>
      <c r="Q141" s="38"/>
      <c r="R141" s="38"/>
      <c r="S141" s="38"/>
      <c r="T141" s="38"/>
      <c r="U141" s="38"/>
      <c r="V141" s="38"/>
      <c r="W141" s="591"/>
      <c r="X141" s="591"/>
      <c r="Y141" s="38"/>
      <c r="Z141" s="38"/>
      <c r="AA141" s="38"/>
      <c r="AB141" s="38"/>
      <c r="AC141" s="591"/>
      <c r="AD141" s="38"/>
      <c r="AE141" s="38"/>
      <c r="AF141" s="38"/>
      <c r="AG141" s="38"/>
      <c r="AH141" s="38"/>
      <c r="AI141" s="38"/>
      <c r="AJ141" s="38"/>
      <c r="AK141" s="591"/>
      <c r="AL141" s="591"/>
      <c r="AM141" s="38"/>
      <c r="AN141" s="591"/>
      <c r="AO141" s="591"/>
      <c r="AP141" s="591"/>
      <c r="AQ141" s="37"/>
      <c r="AR141" s="36"/>
      <c r="AS141" s="36"/>
      <c r="AT141" s="36"/>
    </row>
    <row r="142" spans="1:46" ht="15" thickTop="1" x14ac:dyDescent="0.35">
      <c r="C142" s="39"/>
      <c r="D142" s="586"/>
      <c r="E142" s="35"/>
      <c r="F142" s="35"/>
      <c r="H142" s="585"/>
      <c r="I142" s="591"/>
      <c r="J142" s="591"/>
      <c r="K142" s="37" t="s">
        <v>1008</v>
      </c>
      <c r="L142" s="37">
        <f>L136+L140</f>
        <v>39294.300000000003</v>
      </c>
      <c r="M142" s="38"/>
      <c r="N142" s="38"/>
      <c r="O142" s="38"/>
      <c r="P142" s="38"/>
      <c r="Q142" s="38"/>
      <c r="R142" s="38"/>
      <c r="S142" s="38"/>
      <c r="T142" s="38"/>
      <c r="U142" s="38"/>
      <c r="V142" s="38"/>
      <c r="W142" s="591"/>
      <c r="X142" s="591"/>
      <c r="Y142" s="38"/>
      <c r="Z142" s="38"/>
      <c r="AA142" s="38"/>
      <c r="AB142" s="38"/>
      <c r="AC142" s="591"/>
      <c r="AD142" s="38"/>
      <c r="AE142" s="36"/>
      <c r="AF142" s="36"/>
      <c r="AG142" s="36"/>
      <c r="AH142" s="36"/>
      <c r="AI142" s="36"/>
      <c r="AJ142" s="36"/>
      <c r="AK142" s="591"/>
      <c r="AL142" s="591"/>
      <c r="AM142" s="38"/>
      <c r="AN142" s="591"/>
      <c r="AO142" s="591"/>
      <c r="AP142" s="591"/>
      <c r="AQ142" s="37"/>
      <c r="AR142" s="36"/>
      <c r="AS142" s="36"/>
      <c r="AT142" s="36"/>
    </row>
    <row r="143" spans="1:46" x14ac:dyDescent="0.35">
      <c r="C143" s="39"/>
      <c r="D143" s="586"/>
      <c r="E143" s="35"/>
      <c r="F143" s="35"/>
      <c r="H143" s="585"/>
      <c r="I143" s="591"/>
      <c r="J143" s="591"/>
      <c r="K143" s="37"/>
      <c r="L143" s="37"/>
      <c r="M143" s="38"/>
      <c r="N143" s="38"/>
      <c r="O143" s="38"/>
      <c r="P143" s="38"/>
      <c r="Q143" s="38"/>
      <c r="R143" s="38"/>
      <c r="S143" s="38"/>
      <c r="T143" s="38"/>
      <c r="U143" s="38"/>
      <c r="V143" s="38"/>
      <c r="W143" s="591"/>
      <c r="X143" s="591"/>
      <c r="Y143" s="38"/>
      <c r="Z143" s="38"/>
      <c r="AA143" s="38"/>
      <c r="AB143" s="38"/>
      <c r="AC143" s="591"/>
      <c r="AD143" s="38"/>
      <c r="AE143" s="36"/>
      <c r="AF143" s="36"/>
      <c r="AG143" s="36"/>
      <c r="AH143" s="36"/>
      <c r="AI143" s="36"/>
      <c r="AJ143" s="38"/>
      <c r="AK143" s="591"/>
      <c r="AL143" s="591"/>
      <c r="AM143" s="38"/>
      <c r="AN143" s="591"/>
      <c r="AO143" s="591"/>
      <c r="AP143" s="591"/>
      <c r="AQ143" s="37"/>
      <c r="AR143" s="36"/>
      <c r="AS143" s="36"/>
      <c r="AT143" s="36"/>
    </row>
    <row r="144" spans="1:46" x14ac:dyDescent="0.35">
      <c r="C144" s="39"/>
      <c r="D144" s="586"/>
      <c r="E144" s="35"/>
      <c r="F144" s="35"/>
      <c r="H144" s="585"/>
      <c r="I144" s="591"/>
      <c r="J144" s="591"/>
      <c r="K144" s="37"/>
      <c r="L144" s="37"/>
      <c r="M144" s="38"/>
      <c r="N144" s="38"/>
      <c r="O144" s="38"/>
      <c r="P144" s="38"/>
      <c r="Q144" s="38"/>
      <c r="R144" s="38"/>
      <c r="S144" s="38"/>
      <c r="T144" s="38"/>
      <c r="U144" s="38"/>
      <c r="V144" s="38"/>
      <c r="W144" s="591"/>
      <c r="X144" s="591"/>
      <c r="Y144" s="38"/>
      <c r="Z144" s="38"/>
      <c r="AA144" s="38"/>
      <c r="AB144" s="38"/>
      <c r="AC144" s="591"/>
      <c r="AD144" s="38"/>
      <c r="AE144" s="38"/>
      <c r="AF144" s="38"/>
      <c r="AG144" s="38"/>
      <c r="AH144" s="38"/>
      <c r="AI144" s="38"/>
      <c r="AJ144" s="38"/>
      <c r="AK144" s="591"/>
      <c r="AL144" s="591"/>
      <c r="AM144" s="38"/>
      <c r="AN144" s="591"/>
      <c r="AO144" s="591"/>
      <c r="AP144" s="591"/>
      <c r="AQ144" s="37"/>
      <c r="AR144" s="36"/>
      <c r="AS144" s="36"/>
      <c r="AT144" s="36"/>
    </row>
    <row r="145" spans="2:46" x14ac:dyDescent="0.35">
      <c r="C145" s="39"/>
      <c r="D145" s="586"/>
      <c r="E145" s="35"/>
      <c r="F145" s="35"/>
      <c r="H145" s="585"/>
      <c r="I145" s="591"/>
      <c r="J145" s="591"/>
      <c r="K145" s="37"/>
      <c r="L145" s="37"/>
      <c r="M145" s="591"/>
      <c r="N145" s="591"/>
      <c r="O145" s="591"/>
      <c r="P145" s="591"/>
      <c r="Q145" s="591"/>
      <c r="R145" s="591"/>
      <c r="S145" s="591"/>
      <c r="T145" s="591"/>
      <c r="U145" s="591"/>
      <c r="V145" s="591"/>
      <c r="W145" s="591"/>
      <c r="X145" s="591"/>
      <c r="Y145" s="591"/>
      <c r="Z145" s="591"/>
      <c r="AA145" s="591"/>
      <c r="AB145" s="591"/>
      <c r="AC145" s="591"/>
      <c r="AD145" s="591"/>
      <c r="AE145" s="591"/>
      <c r="AF145" s="591"/>
      <c r="AG145" s="591"/>
      <c r="AH145" s="591"/>
      <c r="AI145" s="591"/>
      <c r="AJ145" s="591"/>
      <c r="AK145" s="591"/>
      <c r="AL145" s="591"/>
      <c r="AM145" s="591"/>
      <c r="AN145" s="591"/>
      <c r="AO145" s="591"/>
      <c r="AP145" s="591"/>
      <c r="AQ145" s="37"/>
      <c r="AR145" s="36"/>
      <c r="AS145" s="36"/>
      <c r="AT145" s="36"/>
    </row>
    <row r="146" spans="2:46" x14ac:dyDescent="0.35">
      <c r="C146" s="39"/>
      <c r="D146" s="586"/>
      <c r="E146" s="35"/>
      <c r="F146" s="35"/>
      <c r="G146" s="550" t="s">
        <v>1123</v>
      </c>
      <c r="H146" s="585"/>
      <c r="I146" s="591"/>
      <c r="J146" s="591"/>
      <c r="K146" s="37"/>
      <c r="L146" s="37"/>
      <c r="M146" s="38"/>
      <c r="N146" s="38"/>
      <c r="O146" s="38"/>
      <c r="P146" s="38"/>
      <c r="Q146" s="38"/>
      <c r="R146" s="38"/>
      <c r="S146" s="38"/>
      <c r="T146" s="38"/>
      <c r="U146" s="38"/>
      <c r="V146" s="38"/>
      <c r="W146" s="591"/>
      <c r="X146" s="591"/>
      <c r="Y146" s="38"/>
      <c r="Z146" s="38"/>
      <c r="AA146" s="38"/>
      <c r="AB146" s="38"/>
      <c r="AC146" s="591"/>
      <c r="AD146" s="38"/>
      <c r="AE146" s="38"/>
      <c r="AF146" s="38"/>
      <c r="AG146" s="38"/>
      <c r="AH146" s="38"/>
      <c r="AI146" s="38"/>
      <c r="AJ146" s="38"/>
      <c r="AK146" s="591"/>
      <c r="AL146" s="591"/>
      <c r="AM146" s="38"/>
      <c r="AN146" s="591"/>
      <c r="AO146" s="591"/>
      <c r="AP146" s="591"/>
      <c r="AQ146" s="37"/>
      <c r="AR146" s="36"/>
      <c r="AS146" s="36"/>
      <c r="AT146" s="36"/>
    </row>
    <row r="147" spans="2:46" x14ac:dyDescent="0.35">
      <c r="B147" s="1283">
        <v>45047</v>
      </c>
      <c r="C147" s="39" t="s">
        <v>1120</v>
      </c>
      <c r="D147" s="586"/>
      <c r="E147" s="1284">
        <v>382.71</v>
      </c>
      <c r="F147" s="35"/>
      <c r="H147" s="585"/>
      <c r="I147" s="591"/>
      <c r="J147" s="608"/>
      <c r="K147" s="37"/>
      <c r="L147" s="37"/>
      <c r="M147" s="38"/>
      <c r="N147" s="38"/>
      <c r="O147" s="38"/>
      <c r="P147" s="38"/>
      <c r="Q147" s="38"/>
      <c r="R147" s="38"/>
      <c r="S147" s="38"/>
      <c r="T147" s="38"/>
      <c r="U147" s="38"/>
      <c r="V147" s="38"/>
      <c r="W147" s="591"/>
      <c r="X147" s="591"/>
      <c r="Y147" s="38"/>
      <c r="Z147" s="38"/>
      <c r="AA147" s="38"/>
      <c r="AB147" s="38"/>
      <c r="AC147" s="591"/>
      <c r="AD147" s="38"/>
      <c r="AE147" s="38"/>
      <c r="AF147" s="38"/>
      <c r="AG147" s="38"/>
      <c r="AH147" s="38"/>
      <c r="AI147" s="38"/>
      <c r="AJ147" s="38"/>
      <c r="AK147" s="591"/>
      <c r="AL147" s="591"/>
      <c r="AM147" s="38"/>
      <c r="AN147" s="591"/>
      <c r="AO147" s="591"/>
      <c r="AP147" s="591"/>
      <c r="AQ147" s="37"/>
      <c r="AR147" s="36"/>
      <c r="AS147" s="36"/>
      <c r="AT147" s="36"/>
    </row>
    <row r="148" spans="2:46" x14ac:dyDescent="0.35">
      <c r="B148" s="1283">
        <v>45657</v>
      </c>
      <c r="C148" s="39" t="s">
        <v>1121</v>
      </c>
      <c r="D148" s="586"/>
      <c r="E148" s="35"/>
      <c r="F148" s="35">
        <v>382.71</v>
      </c>
      <c r="H148" s="585"/>
      <c r="I148" s="591"/>
      <c r="J148" s="591"/>
      <c r="K148" s="37"/>
      <c r="L148" s="37"/>
      <c r="M148" s="38"/>
      <c r="N148" s="38"/>
      <c r="O148" s="38"/>
      <c r="P148" s="38"/>
      <c r="Q148" s="38"/>
      <c r="R148" s="38"/>
      <c r="S148" s="38"/>
      <c r="T148" s="38"/>
      <c r="U148" s="38"/>
      <c r="V148" s="38"/>
      <c r="W148" s="591"/>
      <c r="X148" s="591"/>
      <c r="Y148" s="38"/>
      <c r="Z148" s="38"/>
      <c r="AA148" s="38"/>
      <c r="AB148" s="38"/>
      <c r="AC148" s="591"/>
      <c r="AD148" s="38"/>
      <c r="AE148" s="38"/>
      <c r="AF148" s="38"/>
      <c r="AG148" s="38"/>
      <c r="AH148" s="38"/>
      <c r="AI148" s="38"/>
      <c r="AJ148" s="38"/>
      <c r="AK148" s="591"/>
      <c r="AL148" s="591"/>
      <c r="AM148" s="38"/>
      <c r="AN148" s="591"/>
      <c r="AO148" s="591"/>
      <c r="AP148" s="591"/>
      <c r="AQ148" s="37"/>
      <c r="AR148" s="36"/>
      <c r="AS148" s="36"/>
      <c r="AT148" s="36"/>
    </row>
    <row r="149" spans="2:46" s="40" customFormat="1" x14ac:dyDescent="0.35">
      <c r="B149" s="1277">
        <v>45672</v>
      </c>
      <c r="C149" s="39" t="s">
        <v>1122</v>
      </c>
      <c r="D149" s="586"/>
      <c r="E149" s="35"/>
      <c r="F149" s="35">
        <v>-52.59</v>
      </c>
      <c r="G149" s="584">
        <v>2.5</v>
      </c>
      <c r="H149" s="550">
        <v>358672751</v>
      </c>
      <c r="I149" s="591"/>
      <c r="J149" s="591"/>
      <c r="K149" s="37"/>
      <c r="L149" s="37"/>
      <c r="M149" s="38"/>
      <c r="N149" s="38"/>
      <c r="O149" s="38"/>
      <c r="P149" s="38"/>
      <c r="Q149" s="38"/>
      <c r="R149" s="38"/>
      <c r="S149" s="38"/>
      <c r="T149" s="38"/>
      <c r="U149" s="38"/>
      <c r="V149" s="38"/>
      <c r="W149" s="591"/>
      <c r="X149" s="591"/>
      <c r="Y149" s="38"/>
      <c r="Z149" s="38"/>
      <c r="AA149" s="38"/>
      <c r="AB149" s="38"/>
      <c r="AC149" s="591"/>
      <c r="AD149" s="38"/>
      <c r="AE149" s="38"/>
      <c r="AF149" s="38"/>
      <c r="AG149" s="38"/>
      <c r="AH149" s="38"/>
      <c r="AI149" s="38"/>
      <c r="AJ149" s="38"/>
      <c r="AK149" s="591"/>
      <c r="AL149" s="591"/>
      <c r="AM149" s="38"/>
      <c r="AN149" s="591"/>
      <c r="AO149" s="591"/>
      <c r="AP149" s="591"/>
      <c r="AQ149" s="609"/>
    </row>
    <row r="150" spans="2:46" x14ac:dyDescent="0.35">
      <c r="B150" s="1283">
        <v>45707</v>
      </c>
      <c r="C150" s="39" t="s">
        <v>1124</v>
      </c>
      <c r="D150" s="586"/>
      <c r="E150" s="35"/>
      <c r="F150" s="35">
        <v>-43</v>
      </c>
      <c r="G150" s="550">
        <v>2.0499999999999998</v>
      </c>
      <c r="H150" s="550">
        <v>358672751</v>
      </c>
      <c r="I150" s="591"/>
      <c r="J150" s="591"/>
      <c r="K150" s="37"/>
      <c r="L150" s="37"/>
      <c r="M150" s="36"/>
      <c r="N150" s="36"/>
      <c r="O150" s="36"/>
      <c r="P150" s="36"/>
      <c r="Q150" s="36"/>
      <c r="R150" s="36"/>
      <c r="S150" s="36"/>
      <c r="T150" s="36"/>
      <c r="U150" s="36"/>
      <c r="V150" s="36"/>
      <c r="W150" s="591"/>
      <c r="X150" s="591"/>
      <c r="Y150" s="36"/>
      <c r="Z150" s="36"/>
      <c r="AA150" s="36"/>
      <c r="AB150" s="36"/>
      <c r="AC150" s="591"/>
      <c r="AD150" s="36"/>
      <c r="AE150" s="38"/>
      <c r="AF150" s="38"/>
      <c r="AG150" s="38"/>
      <c r="AH150" s="38"/>
      <c r="AI150" s="38"/>
      <c r="AJ150" s="36"/>
      <c r="AK150" s="591"/>
      <c r="AL150" s="591"/>
      <c r="AM150" s="36"/>
      <c r="AN150" s="591"/>
      <c r="AO150" s="591"/>
      <c r="AP150" s="591"/>
      <c r="AQ150" s="37"/>
      <c r="AR150" s="36"/>
      <c r="AS150" s="36"/>
      <c r="AT150" s="36"/>
    </row>
    <row r="151" spans="2:46" x14ac:dyDescent="0.35">
      <c r="B151" s="1283">
        <v>45719</v>
      </c>
      <c r="C151" s="39" t="s">
        <v>1173</v>
      </c>
      <c r="D151" s="586"/>
      <c r="E151" s="35"/>
      <c r="F151" s="35">
        <v>-51.99</v>
      </c>
      <c r="G151" s="550">
        <v>2.48</v>
      </c>
      <c r="H151" s="550">
        <v>358672751</v>
      </c>
      <c r="I151" s="591"/>
      <c r="J151" s="591"/>
      <c r="K151" s="37"/>
      <c r="L151" s="37"/>
      <c r="M151" s="36"/>
      <c r="N151" s="36"/>
      <c r="O151" s="36"/>
      <c r="P151" s="36"/>
      <c r="Q151" s="36"/>
      <c r="R151" s="36"/>
      <c r="S151" s="36"/>
      <c r="T151" s="36"/>
      <c r="U151" s="36"/>
      <c r="V151" s="36"/>
      <c r="W151" s="591"/>
      <c r="X151" s="591"/>
      <c r="Y151" s="36"/>
      <c r="Z151" s="36"/>
      <c r="AA151" s="36"/>
      <c r="AB151" s="36"/>
      <c r="AC151" s="591"/>
      <c r="AD151" s="36"/>
      <c r="AE151" s="38"/>
      <c r="AF151" s="38"/>
      <c r="AG151" s="38"/>
      <c r="AH151" s="38"/>
      <c r="AI151" s="38"/>
      <c r="AJ151" s="38"/>
      <c r="AK151" s="591"/>
      <c r="AL151" s="591"/>
      <c r="AM151" s="36"/>
      <c r="AN151" s="591"/>
      <c r="AO151" s="591"/>
      <c r="AP151" s="591"/>
      <c r="AQ151" s="37"/>
      <c r="AR151" s="36"/>
      <c r="AS151" s="36"/>
      <c r="AT151" s="36"/>
    </row>
    <row r="152" spans="2:46" x14ac:dyDescent="0.35">
      <c r="B152" s="1341">
        <v>45748</v>
      </c>
      <c r="C152" s="39" t="s">
        <v>1174</v>
      </c>
      <c r="D152" s="586"/>
      <c r="E152" s="35"/>
      <c r="F152" s="35">
        <v>-50.12</v>
      </c>
      <c r="G152" s="586">
        <v>2.39</v>
      </c>
      <c r="H152" s="35">
        <v>358672751</v>
      </c>
      <c r="I152" s="591"/>
      <c r="J152" s="591"/>
      <c r="K152" s="37"/>
      <c r="L152" s="37"/>
      <c r="M152" s="36"/>
      <c r="N152" s="36"/>
      <c r="O152" s="36"/>
      <c r="P152" s="36"/>
      <c r="Q152" s="36"/>
      <c r="R152" s="36"/>
      <c r="S152" s="36"/>
      <c r="T152" s="36"/>
      <c r="U152" s="36"/>
      <c r="V152" s="36"/>
      <c r="W152" s="591"/>
      <c r="X152" s="591"/>
      <c r="Y152" s="36"/>
      <c r="Z152" s="36"/>
      <c r="AA152" s="36"/>
      <c r="AB152" s="36"/>
      <c r="AC152" s="591"/>
      <c r="AD152" s="36"/>
      <c r="AE152" s="38"/>
      <c r="AF152" s="38"/>
      <c r="AG152" s="38"/>
      <c r="AH152" s="38"/>
      <c r="AI152" s="38"/>
      <c r="AJ152" s="38"/>
      <c r="AK152" s="591"/>
      <c r="AL152" s="591"/>
      <c r="AM152" s="36"/>
      <c r="AN152" s="591"/>
      <c r="AO152" s="591"/>
      <c r="AP152" s="591"/>
      <c r="AQ152" s="37"/>
      <c r="AR152" s="36"/>
      <c r="AS152" s="36"/>
      <c r="AT152" s="36"/>
    </row>
    <row r="153" spans="2:46" x14ac:dyDescent="0.35">
      <c r="C153" s="39"/>
      <c r="D153" s="586"/>
      <c r="E153" s="35"/>
      <c r="F153" s="35"/>
      <c r="H153" s="585"/>
      <c r="I153" s="591"/>
      <c r="J153" s="591"/>
      <c r="K153" s="37"/>
      <c r="L153" s="37"/>
      <c r="M153" s="36"/>
      <c r="N153" s="36"/>
      <c r="O153" s="36"/>
      <c r="P153" s="36"/>
      <c r="Q153" s="36"/>
      <c r="R153" s="36"/>
      <c r="S153" s="36"/>
      <c r="T153" s="36"/>
      <c r="U153" s="36"/>
      <c r="V153" s="36"/>
      <c r="W153" s="591"/>
      <c r="X153" s="591"/>
      <c r="Y153" s="36"/>
      <c r="Z153" s="36"/>
      <c r="AA153" s="36"/>
      <c r="AB153" s="36"/>
      <c r="AC153" s="591"/>
      <c r="AD153" s="36"/>
      <c r="AE153" s="38"/>
      <c r="AF153" s="38"/>
      <c r="AG153" s="38"/>
      <c r="AH153" s="38"/>
      <c r="AI153" s="38"/>
      <c r="AJ153" s="38"/>
      <c r="AK153" s="591"/>
      <c r="AL153" s="591"/>
      <c r="AM153" s="36"/>
      <c r="AN153" s="591"/>
      <c r="AO153" s="591"/>
      <c r="AP153" s="591"/>
      <c r="AQ153" s="37"/>
      <c r="AR153" s="36"/>
      <c r="AS153" s="36"/>
      <c r="AT153" s="36"/>
    </row>
    <row r="154" spans="2:46" x14ac:dyDescent="0.35">
      <c r="C154" s="39"/>
      <c r="D154" s="586"/>
      <c r="E154" s="35"/>
      <c r="F154" s="35"/>
      <c r="H154" s="585"/>
      <c r="I154" s="591"/>
      <c r="J154" s="591"/>
      <c r="K154" s="37"/>
      <c r="L154" s="37"/>
      <c r="M154" s="36"/>
      <c r="N154" s="36"/>
      <c r="O154" s="36"/>
      <c r="P154" s="36"/>
      <c r="Q154" s="36"/>
      <c r="R154" s="36"/>
      <c r="S154" s="36"/>
      <c r="T154" s="36"/>
      <c r="U154" s="36"/>
      <c r="V154" s="36"/>
      <c r="W154" s="591"/>
      <c r="X154" s="591"/>
      <c r="Y154" s="36"/>
      <c r="Z154" s="36"/>
      <c r="AA154" s="36"/>
      <c r="AB154" s="36"/>
      <c r="AC154" s="591"/>
      <c r="AD154" s="36"/>
      <c r="AE154" s="38"/>
      <c r="AF154" s="38"/>
      <c r="AG154" s="38"/>
      <c r="AH154" s="38"/>
      <c r="AI154" s="38"/>
      <c r="AJ154" s="38"/>
      <c r="AK154" s="591"/>
      <c r="AL154" s="591"/>
      <c r="AM154" s="36"/>
      <c r="AN154" s="591"/>
      <c r="AO154" s="591"/>
      <c r="AP154" s="591"/>
      <c r="AQ154" s="37"/>
      <c r="AR154" s="36"/>
      <c r="AS154" s="36"/>
      <c r="AT154" s="36"/>
    </row>
    <row r="155" spans="2:46" x14ac:dyDescent="0.35">
      <c r="C155" s="39"/>
      <c r="D155" s="586"/>
      <c r="E155" s="35"/>
      <c r="F155" s="35"/>
      <c r="H155" s="585"/>
      <c r="I155" s="591"/>
      <c r="J155" s="591"/>
      <c r="K155" s="37"/>
      <c r="L155" s="37"/>
      <c r="M155" s="36"/>
      <c r="N155" s="36"/>
      <c r="O155" s="36"/>
      <c r="P155" s="36"/>
      <c r="Q155" s="36"/>
      <c r="R155" s="36"/>
      <c r="S155" s="36"/>
      <c r="T155" s="36"/>
      <c r="U155" s="36"/>
      <c r="V155" s="36"/>
      <c r="W155" s="591"/>
      <c r="X155" s="591"/>
      <c r="Y155" s="36"/>
      <c r="Z155" s="36"/>
      <c r="AA155" s="36"/>
      <c r="AB155" s="36"/>
      <c r="AC155" s="591"/>
      <c r="AD155" s="36"/>
      <c r="AE155" s="38"/>
      <c r="AF155" s="38"/>
      <c r="AG155" s="38"/>
      <c r="AH155" s="38"/>
      <c r="AI155" s="38"/>
      <c r="AJ155" s="38"/>
      <c r="AK155" s="591"/>
      <c r="AL155" s="591"/>
      <c r="AM155" s="36"/>
      <c r="AN155" s="591"/>
      <c r="AO155" s="591"/>
      <c r="AP155" s="591"/>
      <c r="AQ155" s="37"/>
      <c r="AR155" s="36"/>
      <c r="AS155" s="36"/>
      <c r="AT155" s="36"/>
    </row>
    <row r="156" spans="2:46" x14ac:dyDescent="0.35">
      <c r="C156" s="39"/>
      <c r="D156" s="586"/>
      <c r="E156" s="35"/>
      <c r="F156" s="35"/>
      <c r="H156" s="585"/>
      <c r="I156" s="591"/>
      <c r="J156" s="591"/>
      <c r="K156" s="37"/>
      <c r="L156" s="37"/>
      <c r="M156" s="36"/>
      <c r="N156" s="36"/>
      <c r="O156" s="36"/>
      <c r="P156" s="36"/>
      <c r="Q156" s="36"/>
      <c r="R156" s="36"/>
      <c r="S156" s="36"/>
      <c r="T156" s="36"/>
      <c r="U156" s="36"/>
      <c r="V156" s="36"/>
      <c r="W156" s="591"/>
      <c r="X156" s="591"/>
      <c r="Y156" s="36"/>
      <c r="Z156" s="36"/>
      <c r="AA156" s="36"/>
      <c r="AB156" s="36"/>
      <c r="AC156" s="591"/>
      <c r="AD156" s="36"/>
      <c r="AE156" s="36"/>
      <c r="AF156" s="36"/>
      <c r="AG156" s="36"/>
      <c r="AH156" s="36"/>
      <c r="AI156" s="36"/>
      <c r="AJ156" s="36"/>
      <c r="AK156" s="591"/>
      <c r="AL156" s="591"/>
      <c r="AM156" s="36"/>
      <c r="AN156" s="591"/>
      <c r="AO156" s="591"/>
      <c r="AP156" s="591"/>
      <c r="AQ156" s="37"/>
      <c r="AR156" s="36"/>
      <c r="AS156" s="36"/>
      <c r="AT156" s="36"/>
    </row>
    <row r="157" spans="2:46" x14ac:dyDescent="0.35">
      <c r="B157" s="552"/>
      <c r="C157" s="39"/>
      <c r="D157" s="586"/>
      <c r="E157" s="35"/>
      <c r="F157" s="35"/>
      <c r="G157" s="552"/>
      <c r="H157" s="585"/>
      <c r="I157" s="591"/>
      <c r="J157" s="591"/>
      <c r="K157" s="37"/>
      <c r="L157" s="37"/>
      <c r="M157" s="36"/>
      <c r="N157" s="36"/>
      <c r="O157" s="36"/>
      <c r="P157" s="36"/>
      <c r="Q157" s="36"/>
      <c r="R157" s="36"/>
      <c r="S157" s="36"/>
      <c r="T157" s="36"/>
      <c r="U157" s="36"/>
      <c r="V157" s="36"/>
      <c r="W157" s="591"/>
      <c r="X157" s="591"/>
      <c r="Y157" s="36"/>
      <c r="Z157" s="36"/>
      <c r="AA157" s="36"/>
      <c r="AB157" s="36"/>
      <c r="AC157" s="591"/>
      <c r="AD157" s="36"/>
      <c r="AE157" s="38"/>
      <c r="AF157" s="38"/>
      <c r="AG157" s="38"/>
      <c r="AH157" s="38"/>
      <c r="AI157" s="38"/>
      <c r="AJ157" s="38"/>
      <c r="AK157" s="591"/>
      <c r="AL157" s="591"/>
      <c r="AM157" s="36"/>
      <c r="AN157" s="591"/>
      <c r="AO157" s="591"/>
      <c r="AP157" s="591"/>
      <c r="AQ157" s="37"/>
      <c r="AR157" s="36"/>
      <c r="AS157" s="36"/>
      <c r="AT157" s="36"/>
    </row>
    <row r="158" spans="2:46" ht="15" thickBot="1" x14ac:dyDescent="0.4">
      <c r="B158" s="552"/>
      <c r="C158" s="39"/>
      <c r="D158" s="586"/>
      <c r="E158" s="40" t="s">
        <v>1127</v>
      </c>
      <c r="F158" s="615">
        <f>SUM(F148:F157)</f>
        <v>185.01</v>
      </c>
      <c r="G158" s="615">
        <f>SUM(G148:G157)</f>
        <v>9.42</v>
      </c>
      <c r="H158" s="585"/>
      <c r="I158" s="591"/>
      <c r="J158" s="591"/>
      <c r="K158" s="37"/>
      <c r="L158" s="37"/>
      <c r="M158" s="36"/>
      <c r="N158" s="36"/>
      <c r="O158" s="36"/>
      <c r="P158" s="36"/>
      <c r="Q158" s="36"/>
      <c r="R158" s="36"/>
      <c r="S158" s="36"/>
      <c r="T158" s="36"/>
      <c r="U158" s="36"/>
      <c r="V158" s="36"/>
      <c r="W158" s="591"/>
      <c r="X158" s="591"/>
      <c r="Y158" s="36"/>
      <c r="Z158" s="36"/>
      <c r="AA158" s="36"/>
      <c r="AB158" s="36"/>
      <c r="AC158" s="591"/>
      <c r="AD158" s="36"/>
      <c r="AE158" s="38"/>
      <c r="AF158" s="38"/>
      <c r="AG158" s="38"/>
      <c r="AH158" s="38"/>
      <c r="AI158" s="38"/>
      <c r="AJ158" s="38"/>
      <c r="AK158" s="591"/>
      <c r="AL158" s="591"/>
      <c r="AM158" s="36"/>
      <c r="AN158" s="591"/>
      <c r="AO158" s="591"/>
      <c r="AP158" s="591"/>
      <c r="AQ158" s="37"/>
      <c r="AR158" s="36"/>
      <c r="AS158" s="36"/>
      <c r="AT158" s="36"/>
    </row>
    <row r="159" spans="2:46" ht="15" thickTop="1" x14ac:dyDescent="0.35">
      <c r="B159" s="552"/>
      <c r="C159" s="39"/>
      <c r="D159" s="586"/>
      <c r="E159" s="35"/>
      <c r="F159" s="35"/>
      <c r="G159" s="552"/>
      <c r="H159" s="585"/>
      <c r="I159" s="591"/>
      <c r="J159" s="591"/>
      <c r="K159" s="37"/>
      <c r="L159" s="37"/>
      <c r="M159" s="36"/>
      <c r="N159" s="36"/>
      <c r="O159" s="36"/>
      <c r="P159" s="36"/>
      <c r="Q159" s="36"/>
      <c r="R159" s="36"/>
      <c r="S159" s="36"/>
      <c r="T159" s="36"/>
      <c r="U159" s="36"/>
      <c r="V159" s="36"/>
      <c r="W159" s="591"/>
      <c r="X159" s="591"/>
      <c r="Y159" s="36"/>
      <c r="Z159" s="36"/>
      <c r="AA159" s="36"/>
      <c r="AB159" s="36"/>
      <c r="AC159" s="591"/>
      <c r="AD159" s="36"/>
      <c r="AE159" s="38"/>
      <c r="AF159" s="38"/>
      <c r="AG159" s="38"/>
      <c r="AH159" s="38"/>
      <c r="AI159" s="38"/>
      <c r="AJ159" s="38"/>
      <c r="AK159" s="591"/>
      <c r="AL159" s="591"/>
      <c r="AM159" s="36"/>
      <c r="AN159" s="591"/>
      <c r="AO159" s="591"/>
      <c r="AP159" s="591"/>
      <c r="AQ159" s="37"/>
      <c r="AR159" s="36"/>
      <c r="AS159" s="36"/>
      <c r="AT159" s="36"/>
    </row>
    <row r="160" spans="2:46" x14ac:dyDescent="0.35">
      <c r="B160" s="552"/>
      <c r="C160" s="39"/>
      <c r="D160" s="586"/>
      <c r="E160" s="35"/>
      <c r="F160" s="35"/>
      <c r="G160" s="552"/>
      <c r="H160" s="585"/>
      <c r="I160" s="591"/>
      <c r="J160" s="591"/>
      <c r="K160" s="37"/>
      <c r="L160" s="37"/>
      <c r="M160" s="36"/>
      <c r="N160" s="36"/>
      <c r="O160" s="36"/>
      <c r="P160" s="36"/>
      <c r="Q160" s="36"/>
      <c r="R160" s="36"/>
      <c r="S160" s="36"/>
      <c r="T160" s="36"/>
      <c r="U160" s="36"/>
      <c r="V160" s="36"/>
      <c r="W160" s="591"/>
      <c r="X160" s="591"/>
      <c r="Y160" s="36"/>
      <c r="Z160" s="36"/>
      <c r="AA160" s="36"/>
      <c r="AB160" s="36"/>
      <c r="AC160" s="591"/>
      <c r="AD160" s="36"/>
      <c r="AE160" s="38"/>
      <c r="AF160" s="38"/>
      <c r="AG160" s="38"/>
      <c r="AH160" s="38"/>
      <c r="AI160" s="38"/>
      <c r="AJ160" s="38"/>
      <c r="AK160" s="591"/>
      <c r="AL160" s="591"/>
      <c r="AM160" s="36"/>
      <c r="AN160" s="591"/>
      <c r="AO160" s="591"/>
      <c r="AP160" s="591"/>
      <c r="AQ160" s="37"/>
      <c r="AR160" s="36"/>
      <c r="AS160" s="36"/>
      <c r="AT160" s="36"/>
    </row>
    <row r="161" spans="2:46" x14ac:dyDescent="0.35">
      <c r="B161" s="552"/>
      <c r="C161" s="39"/>
      <c r="D161" s="586"/>
      <c r="E161" s="35"/>
      <c r="F161" s="35"/>
      <c r="G161" s="552"/>
      <c r="H161" s="585"/>
      <c r="I161" s="591"/>
      <c r="J161" s="591"/>
      <c r="K161" s="37"/>
      <c r="L161" s="37"/>
      <c r="M161" s="36"/>
      <c r="N161" s="36"/>
      <c r="O161" s="36"/>
      <c r="P161" s="36"/>
      <c r="Q161" s="36"/>
      <c r="R161" s="36"/>
      <c r="S161" s="36"/>
      <c r="T161" s="36"/>
      <c r="U161" s="36"/>
      <c r="V161" s="36"/>
      <c r="W161" s="591"/>
      <c r="X161" s="591"/>
      <c r="Y161" s="36"/>
      <c r="Z161" s="36"/>
      <c r="AA161" s="36"/>
      <c r="AB161" s="36"/>
      <c r="AC161" s="591"/>
      <c r="AD161" s="36"/>
      <c r="AE161" s="38"/>
      <c r="AF161" s="38"/>
      <c r="AG161" s="38"/>
      <c r="AH161" s="38"/>
      <c r="AI161" s="38"/>
      <c r="AJ161" s="38"/>
      <c r="AK161" s="591"/>
      <c r="AL161" s="591"/>
      <c r="AM161" s="36"/>
      <c r="AN161" s="591"/>
      <c r="AO161" s="591"/>
      <c r="AP161" s="591"/>
      <c r="AQ161" s="37"/>
      <c r="AR161" s="36"/>
      <c r="AS161" s="36"/>
      <c r="AT161" s="36"/>
    </row>
    <row r="162" spans="2:46" x14ac:dyDescent="0.35">
      <c r="B162" s="552"/>
      <c r="C162" s="40"/>
      <c r="D162" s="40"/>
      <c r="E162" s="40"/>
      <c r="F162" s="40"/>
      <c r="G162" s="552"/>
      <c r="H162" s="610"/>
      <c r="I162" s="611"/>
      <c r="J162" s="611"/>
      <c r="K162" s="609"/>
      <c r="L162" s="609"/>
      <c r="M162" s="40"/>
      <c r="N162" s="40"/>
      <c r="O162" s="40"/>
      <c r="P162" s="40"/>
      <c r="Q162" s="40"/>
      <c r="R162" s="40"/>
      <c r="S162" s="40"/>
      <c r="T162" s="40"/>
      <c r="U162" s="40"/>
      <c r="V162" s="40"/>
      <c r="W162" s="611"/>
      <c r="X162" s="611"/>
      <c r="Y162" s="40"/>
      <c r="Z162" s="40"/>
      <c r="AA162" s="40"/>
      <c r="AB162" s="40"/>
      <c r="AC162" s="611"/>
      <c r="AD162" s="40"/>
      <c r="AE162" s="40"/>
      <c r="AF162" s="40"/>
      <c r="AG162" s="40"/>
      <c r="AH162" s="40"/>
      <c r="AI162" s="40"/>
      <c r="AJ162" s="40"/>
      <c r="AK162" s="591"/>
      <c r="AL162" s="591"/>
      <c r="AM162" s="40"/>
      <c r="AN162" s="591"/>
      <c r="AO162" s="591"/>
      <c r="AP162" s="591"/>
      <c r="AQ162" s="37"/>
      <c r="AR162" s="36"/>
      <c r="AS162" s="36"/>
      <c r="AT162" s="36"/>
    </row>
    <row r="163" spans="2:46" x14ac:dyDescent="0.35">
      <c r="B163" s="552"/>
      <c r="C163" s="39"/>
      <c r="D163" s="586"/>
      <c r="E163" s="35"/>
      <c r="F163" s="36"/>
      <c r="G163" s="552"/>
      <c r="I163" s="591"/>
      <c r="J163" s="591"/>
      <c r="K163" s="37"/>
      <c r="L163" s="37"/>
      <c r="M163" s="36"/>
      <c r="N163" s="36"/>
      <c r="O163" s="36"/>
      <c r="P163" s="36"/>
      <c r="Q163" s="36"/>
      <c r="R163" s="36"/>
      <c r="S163" s="36"/>
      <c r="T163" s="36"/>
      <c r="U163" s="36"/>
      <c r="V163" s="36"/>
      <c r="W163" s="591"/>
      <c r="X163" s="591"/>
      <c r="Y163" s="36"/>
      <c r="Z163" s="36"/>
      <c r="AA163" s="36"/>
      <c r="AB163" s="36"/>
      <c r="AC163" s="591"/>
      <c r="AD163" s="36"/>
      <c r="AE163" s="36"/>
      <c r="AF163" s="36"/>
      <c r="AG163" s="36"/>
      <c r="AH163" s="36"/>
      <c r="AI163" s="36"/>
      <c r="AJ163" s="591"/>
      <c r="AK163" s="591"/>
      <c r="AL163" s="591"/>
      <c r="AM163" s="36"/>
      <c r="AN163" s="591"/>
      <c r="AO163" s="591"/>
      <c r="AP163" s="591"/>
      <c r="AQ163" s="37"/>
      <c r="AR163" s="36"/>
      <c r="AS163" s="36"/>
      <c r="AT163" s="36"/>
    </row>
    <row r="164" spans="2:46" x14ac:dyDescent="0.35">
      <c r="B164" s="552"/>
      <c r="C164" s="39"/>
      <c r="D164" s="586"/>
      <c r="E164" s="36"/>
      <c r="F164" s="36"/>
      <c r="G164" s="552"/>
      <c r="I164" s="591"/>
      <c r="J164" s="591"/>
      <c r="K164" s="37"/>
      <c r="L164" s="37"/>
      <c r="M164" s="36"/>
      <c r="N164" s="36"/>
      <c r="O164" s="36"/>
      <c r="P164" s="36"/>
      <c r="Q164" s="36"/>
      <c r="R164" s="36"/>
      <c r="S164" s="36"/>
      <c r="T164" s="36"/>
      <c r="U164" s="36"/>
      <c r="V164" s="36"/>
      <c r="W164" s="591"/>
      <c r="X164" s="591"/>
      <c r="Y164" s="36"/>
      <c r="Z164" s="36"/>
      <c r="AA164" s="36"/>
      <c r="AB164" s="36"/>
      <c r="AC164" s="591"/>
      <c r="AD164" s="36"/>
      <c r="AE164" s="36"/>
      <c r="AF164" s="36"/>
      <c r="AG164" s="36"/>
      <c r="AH164" s="36"/>
      <c r="AI164" s="36"/>
      <c r="AJ164" s="591"/>
      <c r="AK164" s="591"/>
      <c r="AL164" s="591"/>
      <c r="AM164" s="36"/>
      <c r="AN164" s="591"/>
      <c r="AO164" s="591"/>
      <c r="AP164" s="591"/>
      <c r="AQ164" s="37"/>
      <c r="AR164" s="36"/>
      <c r="AS164" s="36"/>
      <c r="AT164" s="36"/>
    </row>
    <row r="165" spans="2:46" x14ac:dyDescent="0.35">
      <c r="B165" s="552"/>
      <c r="C165" s="39"/>
      <c r="D165" s="586"/>
      <c r="E165" s="36"/>
      <c r="F165" s="36"/>
      <c r="G165" s="552"/>
      <c r="I165" s="591"/>
      <c r="J165" s="591"/>
      <c r="K165" s="37"/>
      <c r="L165" s="37"/>
      <c r="M165" s="36"/>
      <c r="N165" s="36"/>
      <c r="O165" s="36"/>
      <c r="P165" s="36"/>
      <c r="Q165" s="36"/>
      <c r="R165" s="36"/>
      <c r="S165" s="36"/>
      <c r="T165" s="36"/>
      <c r="U165" s="36"/>
      <c r="V165" s="36"/>
      <c r="W165" s="591"/>
      <c r="X165" s="591"/>
      <c r="Y165" s="36"/>
      <c r="Z165" s="36"/>
      <c r="AA165" s="36"/>
      <c r="AB165" s="36"/>
      <c r="AC165" s="591"/>
      <c r="AD165" s="36"/>
      <c r="AE165" s="36"/>
      <c r="AF165" s="36"/>
      <c r="AG165" s="36"/>
      <c r="AH165" s="36"/>
      <c r="AI165" s="36"/>
      <c r="AJ165" s="36"/>
      <c r="AK165" s="591"/>
      <c r="AL165" s="591"/>
      <c r="AM165" s="36"/>
      <c r="AN165" s="591"/>
      <c r="AO165" s="591"/>
      <c r="AP165" s="591"/>
      <c r="AQ165" s="37"/>
      <c r="AR165" s="36"/>
      <c r="AS165" s="36"/>
      <c r="AT165" s="36"/>
    </row>
    <row r="166" spans="2:46" x14ac:dyDescent="0.35">
      <c r="B166" s="552"/>
      <c r="C166" s="39"/>
      <c r="D166" s="586"/>
      <c r="E166" s="36"/>
      <c r="F166" s="36"/>
      <c r="G166" s="552"/>
      <c r="I166" s="591"/>
      <c r="J166" s="591"/>
      <c r="K166" s="37"/>
      <c r="L166" s="37"/>
      <c r="M166" s="36"/>
      <c r="N166" s="36"/>
      <c r="O166" s="36"/>
      <c r="P166" s="36"/>
      <c r="Q166" s="36"/>
      <c r="R166" s="36"/>
      <c r="S166" s="36"/>
      <c r="T166" s="36"/>
      <c r="U166" s="36"/>
      <c r="V166" s="36"/>
      <c r="W166" s="591"/>
      <c r="X166" s="591"/>
      <c r="Y166" s="36"/>
      <c r="Z166" s="36"/>
      <c r="AA166" s="36"/>
      <c r="AB166" s="36"/>
      <c r="AC166" s="591"/>
      <c r="AD166" s="36"/>
      <c r="AE166" s="36"/>
      <c r="AF166" s="36"/>
      <c r="AG166" s="36"/>
      <c r="AH166" s="36"/>
      <c r="AI166" s="36"/>
      <c r="AJ166" s="36"/>
      <c r="AK166" s="591"/>
      <c r="AL166" s="591"/>
      <c r="AM166" s="36"/>
      <c r="AN166" s="591"/>
      <c r="AO166" s="591"/>
      <c r="AP166" s="591"/>
      <c r="AQ166" s="37"/>
      <c r="AR166" s="36"/>
      <c r="AS166" s="36"/>
      <c r="AT166" s="36"/>
    </row>
    <row r="167" spans="2:46" x14ac:dyDescent="0.35">
      <c r="B167" s="552"/>
      <c r="C167" s="39"/>
      <c r="D167" s="586"/>
      <c r="E167" s="36"/>
      <c r="F167" s="36"/>
      <c r="G167" s="552"/>
      <c r="I167" s="591"/>
      <c r="J167" s="591"/>
      <c r="K167" s="37"/>
      <c r="L167" s="37"/>
      <c r="M167" s="36"/>
      <c r="N167" s="36"/>
      <c r="O167" s="36"/>
      <c r="P167" s="36"/>
      <c r="Q167" s="36"/>
      <c r="R167" s="36"/>
      <c r="S167" s="36"/>
      <c r="T167" s="36"/>
      <c r="U167" s="36"/>
      <c r="V167" s="36"/>
      <c r="W167" s="591"/>
      <c r="X167" s="591"/>
      <c r="Y167" s="36"/>
      <c r="Z167" s="36"/>
      <c r="AA167" s="36"/>
      <c r="AB167" s="36"/>
      <c r="AC167" s="591"/>
      <c r="AD167" s="36"/>
      <c r="AE167" s="36"/>
      <c r="AF167" s="36"/>
      <c r="AG167" s="36"/>
      <c r="AH167" s="36"/>
      <c r="AI167" s="36"/>
      <c r="AJ167" s="36"/>
      <c r="AK167" s="591"/>
      <c r="AL167" s="591"/>
      <c r="AM167" s="36"/>
      <c r="AN167" s="591"/>
      <c r="AO167" s="591"/>
      <c r="AP167" s="591"/>
      <c r="AQ167" s="37"/>
      <c r="AR167" s="36"/>
      <c r="AS167" s="36"/>
      <c r="AT167" s="36"/>
    </row>
    <row r="168" spans="2:46" x14ac:dyDescent="0.35">
      <c r="B168" s="552"/>
      <c r="C168" s="39"/>
      <c r="D168" s="586"/>
      <c r="E168" s="36"/>
      <c r="F168" s="36"/>
      <c r="G168" s="552"/>
      <c r="I168" s="591"/>
      <c r="J168" s="591"/>
      <c r="K168" s="37"/>
      <c r="L168" s="37"/>
      <c r="M168" s="36"/>
      <c r="N168" s="36"/>
      <c r="O168" s="36"/>
      <c r="P168" s="36"/>
      <c r="Q168" s="36"/>
      <c r="R168" s="36"/>
      <c r="S168" s="36"/>
      <c r="T168" s="36"/>
      <c r="U168" s="36"/>
      <c r="V168" s="36"/>
      <c r="W168" s="591"/>
      <c r="X168" s="591"/>
      <c r="Y168" s="36"/>
      <c r="Z168" s="36"/>
      <c r="AA168" s="36"/>
      <c r="AB168" s="36"/>
      <c r="AC168" s="591"/>
      <c r="AD168" s="36"/>
      <c r="AE168" s="36"/>
      <c r="AF168" s="36"/>
      <c r="AG168" s="36"/>
      <c r="AH168" s="36"/>
      <c r="AI168" s="36"/>
      <c r="AJ168" s="36"/>
      <c r="AK168" s="591"/>
      <c r="AL168" s="591"/>
      <c r="AM168" s="36"/>
      <c r="AN168" s="591"/>
      <c r="AO168" s="591"/>
      <c r="AP168" s="591"/>
      <c r="AQ168" s="37"/>
      <c r="AR168" s="36"/>
      <c r="AS168" s="36"/>
      <c r="AT168" s="36"/>
    </row>
    <row r="169" spans="2:46" x14ac:dyDescent="0.35">
      <c r="B169" s="552"/>
      <c r="C169" s="39"/>
      <c r="D169" s="586"/>
      <c r="E169" s="36"/>
      <c r="F169" s="36"/>
      <c r="G169" s="552"/>
      <c r="I169" s="591"/>
      <c r="J169" s="591"/>
      <c r="K169" s="37"/>
      <c r="L169" s="37"/>
      <c r="M169" s="36"/>
      <c r="N169" s="36"/>
      <c r="O169" s="36"/>
      <c r="P169" s="36"/>
      <c r="Q169" s="36"/>
      <c r="R169" s="36"/>
      <c r="S169" s="36"/>
      <c r="T169" s="36"/>
      <c r="U169" s="36"/>
      <c r="V169" s="36"/>
      <c r="W169" s="591"/>
      <c r="X169" s="591"/>
      <c r="Y169" s="36"/>
      <c r="Z169" s="36"/>
      <c r="AA169" s="36"/>
      <c r="AB169" s="36"/>
      <c r="AC169" s="591"/>
      <c r="AD169" s="36"/>
      <c r="AE169" s="36"/>
      <c r="AF169" s="36"/>
      <c r="AG169" s="36"/>
      <c r="AH169" s="36"/>
      <c r="AI169" s="36"/>
      <c r="AJ169" s="36"/>
      <c r="AK169" s="591"/>
      <c r="AL169" s="591"/>
      <c r="AM169" s="36"/>
      <c r="AN169" s="591"/>
      <c r="AO169" s="591"/>
      <c r="AP169" s="591"/>
      <c r="AQ169" s="37"/>
      <c r="AR169" s="36"/>
      <c r="AS169" s="36"/>
      <c r="AT169" s="36"/>
    </row>
    <row r="170" spans="2:46" x14ac:dyDescent="0.35">
      <c r="B170" s="552"/>
      <c r="C170" s="39"/>
      <c r="D170" s="586"/>
      <c r="E170" s="36"/>
      <c r="F170" s="36"/>
      <c r="G170" s="552"/>
      <c r="I170" s="591"/>
      <c r="J170" s="591"/>
      <c r="K170" s="37"/>
      <c r="L170" s="37"/>
      <c r="M170" s="36"/>
      <c r="N170" s="36"/>
      <c r="O170" s="36"/>
      <c r="P170" s="36"/>
      <c r="Q170" s="36"/>
      <c r="R170" s="36"/>
      <c r="S170" s="36"/>
      <c r="T170" s="36"/>
      <c r="U170" s="36"/>
      <c r="V170" s="36"/>
      <c r="W170" s="591"/>
      <c r="X170" s="591"/>
      <c r="Y170" s="36"/>
      <c r="Z170" s="36"/>
      <c r="AA170" s="36"/>
      <c r="AB170" s="36"/>
      <c r="AC170" s="591"/>
      <c r="AD170" s="36"/>
      <c r="AE170" s="36"/>
      <c r="AF170" s="36"/>
      <c r="AG170" s="36"/>
      <c r="AH170" s="36"/>
      <c r="AI170" s="36"/>
      <c r="AJ170" s="36"/>
      <c r="AK170" s="591"/>
      <c r="AL170" s="591"/>
      <c r="AM170" s="36"/>
      <c r="AN170" s="591"/>
      <c r="AO170" s="591"/>
      <c r="AP170" s="591"/>
      <c r="AQ170" s="37"/>
      <c r="AR170" s="36"/>
      <c r="AS170" s="36"/>
      <c r="AT170" s="36"/>
    </row>
    <row r="171" spans="2:46" x14ac:dyDescent="0.35">
      <c r="B171" s="552"/>
      <c r="C171" s="39"/>
      <c r="D171" s="586"/>
      <c r="E171" s="36"/>
      <c r="F171" s="36"/>
      <c r="G171" s="552"/>
      <c r="I171" s="591"/>
      <c r="J171" s="591"/>
      <c r="K171" s="37"/>
      <c r="L171" s="37"/>
      <c r="M171" s="36"/>
      <c r="N171" s="36"/>
      <c r="O171" s="36"/>
      <c r="P171" s="36"/>
      <c r="Q171" s="36"/>
      <c r="R171" s="36"/>
      <c r="S171" s="36"/>
      <c r="T171" s="36"/>
      <c r="U171" s="36"/>
      <c r="V171" s="36"/>
      <c r="W171" s="591"/>
      <c r="X171" s="591"/>
      <c r="Y171" s="36"/>
      <c r="Z171" s="36"/>
      <c r="AA171" s="36"/>
      <c r="AB171" s="36"/>
      <c r="AC171" s="591"/>
      <c r="AD171" s="36"/>
      <c r="AE171" s="36"/>
      <c r="AF171" s="36"/>
      <c r="AG171" s="36"/>
      <c r="AH171" s="36"/>
      <c r="AI171" s="36"/>
      <c r="AJ171" s="36"/>
      <c r="AK171" s="591"/>
      <c r="AL171" s="591"/>
      <c r="AM171" s="36"/>
      <c r="AN171" s="591"/>
      <c r="AO171" s="591"/>
      <c r="AP171" s="591"/>
      <c r="AQ171" s="37"/>
      <c r="AR171" s="36"/>
      <c r="AS171" s="36"/>
      <c r="AT171" s="36"/>
    </row>
    <row r="172" spans="2:46" x14ac:dyDescent="0.35">
      <c r="B172" s="552"/>
      <c r="C172" s="39"/>
      <c r="D172" s="586"/>
      <c r="E172" s="36"/>
      <c r="F172" s="36"/>
      <c r="G172" s="552"/>
      <c r="I172" s="591"/>
      <c r="J172" s="591"/>
      <c r="K172" s="37"/>
      <c r="L172" s="37"/>
      <c r="M172" s="36"/>
      <c r="N172" s="36"/>
      <c r="O172" s="36"/>
      <c r="P172" s="36"/>
      <c r="Q172" s="36"/>
      <c r="R172" s="36"/>
      <c r="S172" s="36"/>
      <c r="T172" s="36"/>
      <c r="U172" s="36"/>
      <c r="V172" s="36"/>
      <c r="W172" s="591"/>
      <c r="X172" s="591"/>
      <c r="Y172" s="36"/>
      <c r="Z172" s="36"/>
      <c r="AA172" s="36"/>
      <c r="AB172" s="36"/>
      <c r="AC172" s="591"/>
      <c r="AD172" s="36"/>
      <c r="AE172" s="36"/>
      <c r="AF172" s="36"/>
      <c r="AG172" s="36"/>
      <c r="AH172" s="36"/>
      <c r="AI172" s="36"/>
      <c r="AJ172" s="36"/>
      <c r="AK172" s="591"/>
      <c r="AL172" s="591"/>
      <c r="AM172" s="36"/>
      <c r="AN172" s="591"/>
      <c r="AO172" s="591"/>
      <c r="AP172" s="591"/>
      <c r="AQ172" s="37"/>
      <c r="AR172" s="36"/>
      <c r="AS172" s="36"/>
      <c r="AT172" s="36"/>
    </row>
    <row r="173" spans="2:46" x14ac:dyDescent="0.35">
      <c r="B173" s="552"/>
      <c r="C173" s="39"/>
      <c r="D173" s="586"/>
      <c r="E173" s="36"/>
      <c r="F173" s="36"/>
      <c r="G173" s="552"/>
      <c r="I173" s="591"/>
      <c r="J173" s="591"/>
      <c r="K173" s="37"/>
      <c r="L173" s="37"/>
      <c r="M173" s="36"/>
      <c r="N173" s="36"/>
      <c r="O173" s="36"/>
      <c r="P173" s="36"/>
      <c r="Q173" s="36"/>
      <c r="R173" s="36"/>
      <c r="S173" s="36"/>
      <c r="T173" s="36"/>
      <c r="U173" s="36"/>
      <c r="V173" s="36"/>
      <c r="W173" s="591"/>
      <c r="X173" s="591"/>
      <c r="Y173" s="36"/>
      <c r="Z173" s="36"/>
      <c r="AA173" s="36"/>
      <c r="AB173" s="36"/>
      <c r="AC173" s="591"/>
      <c r="AD173" s="36"/>
      <c r="AE173" s="36"/>
      <c r="AF173" s="36"/>
      <c r="AG173" s="36"/>
      <c r="AH173" s="36"/>
      <c r="AI173" s="36"/>
      <c r="AJ173" s="36"/>
      <c r="AK173" s="591"/>
      <c r="AL173" s="591"/>
      <c r="AM173" s="36"/>
      <c r="AN173" s="591"/>
      <c r="AO173" s="591"/>
      <c r="AP173" s="591"/>
      <c r="AQ173" s="37"/>
      <c r="AR173" s="36"/>
      <c r="AS173" s="36"/>
      <c r="AT173" s="36"/>
    </row>
    <row r="174" spans="2:46" x14ac:dyDescent="0.35">
      <c r="B174" s="552"/>
      <c r="C174" s="39"/>
      <c r="D174" s="586"/>
      <c r="E174" s="36"/>
      <c r="F174" s="36"/>
      <c r="G174" s="552"/>
      <c r="I174" s="591"/>
      <c r="J174" s="591"/>
      <c r="K174" s="37"/>
      <c r="L174" s="37"/>
      <c r="M174" s="36"/>
      <c r="N174" s="36"/>
      <c r="O174" s="36"/>
      <c r="P174" s="36"/>
      <c r="Q174" s="36"/>
      <c r="R174" s="36"/>
      <c r="S174" s="36"/>
      <c r="T174" s="36"/>
      <c r="U174" s="36"/>
      <c r="V174" s="36"/>
      <c r="W174" s="591"/>
      <c r="X174" s="591"/>
      <c r="Y174" s="36"/>
      <c r="Z174" s="36"/>
      <c r="AA174" s="36"/>
      <c r="AB174" s="36"/>
      <c r="AC174" s="591"/>
      <c r="AD174" s="36"/>
      <c r="AE174" s="36"/>
      <c r="AF174" s="36"/>
      <c r="AG174" s="36"/>
      <c r="AH174" s="36"/>
      <c r="AI174" s="36"/>
      <c r="AJ174" s="36"/>
      <c r="AK174" s="591"/>
      <c r="AL174" s="591"/>
      <c r="AM174" s="36"/>
      <c r="AN174" s="591"/>
      <c r="AO174" s="591"/>
      <c r="AP174" s="591"/>
      <c r="AQ174" s="37"/>
      <c r="AR174" s="36"/>
      <c r="AS174" s="36"/>
      <c r="AT174" s="36"/>
    </row>
    <row r="175" spans="2:46" x14ac:dyDescent="0.35">
      <c r="B175" s="552"/>
      <c r="C175" s="39"/>
      <c r="D175" s="586"/>
      <c r="E175" s="36"/>
      <c r="F175" s="36"/>
      <c r="G175" s="552"/>
      <c r="I175" s="591"/>
      <c r="J175" s="591"/>
      <c r="K175" s="37"/>
      <c r="L175" s="37"/>
      <c r="M175" s="36"/>
      <c r="N175" s="36"/>
      <c r="O175" s="36"/>
      <c r="P175" s="36"/>
      <c r="Q175" s="36"/>
      <c r="R175" s="36"/>
      <c r="S175" s="36"/>
      <c r="T175" s="36"/>
      <c r="U175" s="36"/>
      <c r="V175" s="36"/>
      <c r="W175" s="591"/>
      <c r="X175" s="591"/>
      <c r="Y175" s="36"/>
      <c r="Z175" s="36"/>
      <c r="AA175" s="36"/>
      <c r="AB175" s="36"/>
      <c r="AC175" s="591"/>
      <c r="AD175" s="36"/>
      <c r="AE175" s="36"/>
      <c r="AF175" s="36"/>
      <c r="AG175" s="36"/>
      <c r="AH175" s="36"/>
      <c r="AI175" s="36"/>
      <c r="AJ175" s="36"/>
      <c r="AK175" s="591"/>
      <c r="AL175" s="591"/>
      <c r="AM175" s="36"/>
      <c r="AN175" s="591"/>
      <c r="AO175" s="591"/>
      <c r="AP175" s="591"/>
      <c r="AQ175" s="609"/>
      <c r="AR175" s="36"/>
      <c r="AS175" s="36"/>
      <c r="AT175" s="36"/>
    </row>
    <row r="176" spans="2:46" x14ac:dyDescent="0.35">
      <c r="B176" s="552"/>
      <c r="C176" s="39"/>
      <c r="D176" s="586"/>
      <c r="E176" s="36"/>
      <c r="F176" s="36"/>
      <c r="G176" s="552"/>
      <c r="I176" s="591"/>
      <c r="J176" s="591"/>
      <c r="K176" s="37"/>
      <c r="L176" s="37"/>
      <c r="M176" s="36"/>
      <c r="N176" s="36"/>
      <c r="O176" s="36"/>
      <c r="P176" s="36"/>
      <c r="Q176" s="36"/>
      <c r="R176" s="36"/>
      <c r="S176" s="36"/>
      <c r="T176" s="36"/>
      <c r="U176" s="36"/>
      <c r="V176" s="36"/>
      <c r="W176" s="591"/>
      <c r="X176" s="591"/>
      <c r="Y176" s="36"/>
      <c r="Z176" s="36"/>
      <c r="AA176" s="36"/>
      <c r="AB176" s="36"/>
      <c r="AC176" s="591"/>
      <c r="AD176" s="36"/>
      <c r="AE176" s="36"/>
      <c r="AF176" s="36"/>
      <c r="AG176" s="36"/>
      <c r="AH176" s="36"/>
      <c r="AI176" s="36"/>
      <c r="AJ176" s="36"/>
      <c r="AK176" s="591"/>
      <c r="AL176" s="591"/>
      <c r="AM176" s="36"/>
      <c r="AN176" s="591"/>
      <c r="AO176" s="591"/>
      <c r="AP176" s="591"/>
      <c r="AQ176" s="37"/>
      <c r="AR176" s="36"/>
      <c r="AS176" s="36"/>
      <c r="AT176" s="36"/>
    </row>
    <row r="177" spans="2:46" x14ac:dyDescent="0.35">
      <c r="B177" s="552"/>
      <c r="C177" s="39"/>
      <c r="D177" s="586"/>
      <c r="E177" s="36"/>
      <c r="F177" s="36"/>
      <c r="G177" s="552"/>
      <c r="I177" s="591"/>
      <c r="J177" s="591"/>
      <c r="K177" s="37"/>
      <c r="L177" s="37"/>
      <c r="M177" s="36"/>
      <c r="N177" s="36"/>
      <c r="O177" s="36"/>
      <c r="P177" s="36"/>
      <c r="Q177" s="36"/>
      <c r="R177" s="36"/>
      <c r="S177" s="36"/>
      <c r="T177" s="36"/>
      <c r="U177" s="36"/>
      <c r="V177" s="36"/>
      <c r="W177" s="591"/>
      <c r="X177" s="591"/>
      <c r="Y177" s="36"/>
      <c r="Z177" s="36"/>
      <c r="AA177" s="36"/>
      <c r="AB177" s="36"/>
      <c r="AC177" s="591"/>
      <c r="AD177" s="36"/>
      <c r="AE177" s="36"/>
      <c r="AF177" s="36"/>
      <c r="AG177" s="36"/>
      <c r="AH177" s="36"/>
      <c r="AI177" s="36"/>
      <c r="AJ177" s="591"/>
      <c r="AK177" s="591"/>
      <c r="AL177" s="591"/>
      <c r="AM177" s="36"/>
      <c r="AN177" s="591"/>
      <c r="AO177" s="591"/>
      <c r="AP177" s="591"/>
      <c r="AQ177" s="37"/>
      <c r="AR177" s="36"/>
      <c r="AS177" s="36"/>
      <c r="AT177" s="36"/>
    </row>
    <row r="178" spans="2:46" x14ac:dyDescent="0.35">
      <c r="B178" s="552"/>
      <c r="C178" s="586"/>
      <c r="D178" s="586"/>
      <c r="E178" s="36"/>
      <c r="F178" s="36"/>
      <c r="G178" s="552"/>
      <c r="I178" s="591"/>
      <c r="J178" s="591"/>
      <c r="K178" s="37"/>
      <c r="L178" s="37"/>
      <c r="M178" s="36"/>
      <c r="N178" s="36"/>
      <c r="O178" s="36"/>
      <c r="P178" s="36"/>
      <c r="Q178" s="36"/>
      <c r="R178" s="36"/>
      <c r="S178" s="36"/>
      <c r="T178" s="36"/>
      <c r="U178" s="36"/>
      <c r="V178" s="36"/>
      <c r="W178" s="591"/>
      <c r="X178" s="591"/>
      <c r="Y178" s="36"/>
      <c r="Z178" s="36"/>
      <c r="AA178" s="36"/>
      <c r="AB178" s="36"/>
      <c r="AC178" s="591"/>
      <c r="AD178" s="36"/>
      <c r="AE178" s="36"/>
      <c r="AF178" s="36"/>
      <c r="AG178" s="36"/>
      <c r="AH178" s="36"/>
      <c r="AI178" s="36"/>
      <c r="AJ178" s="591"/>
      <c r="AK178" s="591"/>
      <c r="AL178" s="591"/>
      <c r="AM178" s="36"/>
      <c r="AN178" s="591"/>
      <c r="AO178" s="591"/>
      <c r="AP178" s="591"/>
      <c r="AQ178" s="37"/>
      <c r="AR178" s="36"/>
      <c r="AS178" s="36"/>
      <c r="AT178" s="36"/>
    </row>
    <row r="179" spans="2:46" x14ac:dyDescent="0.35">
      <c r="B179" s="552"/>
      <c r="C179" s="36"/>
      <c r="D179" s="586"/>
      <c r="E179" s="36"/>
      <c r="F179" s="36"/>
      <c r="G179" s="552"/>
      <c r="I179" s="591"/>
      <c r="J179" s="591"/>
      <c r="K179" s="37"/>
      <c r="L179" s="37"/>
      <c r="M179" s="591"/>
      <c r="N179" s="591"/>
      <c r="O179" s="591"/>
      <c r="P179" s="591"/>
      <c r="Q179" s="591"/>
      <c r="R179" s="591"/>
      <c r="S179" s="591"/>
      <c r="T179" s="591"/>
      <c r="U179" s="591"/>
      <c r="V179" s="591"/>
      <c r="W179" s="591"/>
      <c r="X179" s="591"/>
      <c r="Y179" s="591"/>
      <c r="Z179" s="591"/>
      <c r="AA179" s="591"/>
      <c r="AB179" s="591"/>
      <c r="AC179" s="591"/>
      <c r="AD179" s="591"/>
      <c r="AE179" s="591"/>
      <c r="AF179" s="591"/>
      <c r="AG179" s="591"/>
      <c r="AH179" s="591"/>
      <c r="AI179" s="591"/>
      <c r="AJ179" s="591"/>
      <c r="AK179" s="591"/>
      <c r="AL179" s="591"/>
      <c r="AM179" s="591"/>
      <c r="AN179" s="591"/>
      <c r="AO179" s="591"/>
      <c r="AP179" s="591"/>
      <c r="AQ179" s="37"/>
      <c r="AR179" s="36"/>
      <c r="AS179" s="36"/>
      <c r="AT179" s="36"/>
    </row>
    <row r="180" spans="2:46" x14ac:dyDescent="0.35">
      <c r="B180" s="552"/>
      <c r="C180" s="36"/>
      <c r="D180" s="586"/>
      <c r="E180" s="36"/>
      <c r="F180" s="36"/>
      <c r="G180" s="552"/>
      <c r="I180" s="591"/>
      <c r="J180" s="591"/>
      <c r="K180" s="37"/>
      <c r="L180" s="37"/>
      <c r="M180" s="591"/>
      <c r="N180" s="591"/>
      <c r="O180" s="591"/>
      <c r="P180" s="591"/>
      <c r="Q180" s="591"/>
      <c r="R180" s="591"/>
      <c r="S180" s="591"/>
      <c r="T180" s="591"/>
      <c r="U180" s="591"/>
      <c r="V180" s="591"/>
      <c r="W180" s="591"/>
      <c r="X180" s="591"/>
      <c r="Y180" s="591"/>
      <c r="Z180" s="591"/>
      <c r="AA180" s="591"/>
      <c r="AB180" s="591"/>
      <c r="AC180" s="591"/>
      <c r="AD180" s="591"/>
      <c r="AE180" s="591"/>
      <c r="AF180" s="591"/>
      <c r="AG180" s="591"/>
      <c r="AH180" s="591"/>
      <c r="AI180" s="591"/>
      <c r="AJ180" s="591"/>
      <c r="AK180" s="591"/>
      <c r="AL180" s="591"/>
      <c r="AM180" s="591"/>
      <c r="AN180" s="591"/>
      <c r="AO180" s="591"/>
      <c r="AP180" s="591"/>
      <c r="AQ180" s="37"/>
      <c r="AR180" s="36"/>
      <c r="AS180" s="36"/>
      <c r="AT180" s="36"/>
    </row>
    <row r="181" spans="2:46" x14ac:dyDescent="0.35">
      <c r="B181" s="552"/>
      <c r="C181" s="36"/>
      <c r="D181" s="586"/>
      <c r="E181" s="36"/>
      <c r="F181" s="36"/>
      <c r="G181" s="552"/>
      <c r="I181" s="591"/>
      <c r="J181" s="591"/>
      <c r="K181" s="37"/>
      <c r="L181" s="37"/>
      <c r="M181" s="36"/>
      <c r="N181" s="36"/>
      <c r="O181" s="36"/>
      <c r="P181" s="36"/>
      <c r="Q181" s="36"/>
      <c r="R181" s="36"/>
      <c r="S181" s="36"/>
      <c r="T181" s="36"/>
      <c r="U181" s="36"/>
      <c r="V181" s="36"/>
      <c r="W181" s="591"/>
      <c r="X181" s="591"/>
      <c r="Y181" s="36"/>
      <c r="Z181" s="36"/>
      <c r="AA181" s="36"/>
      <c r="AB181" s="36"/>
      <c r="AC181" s="591"/>
      <c r="AD181" s="36"/>
      <c r="AE181" s="36"/>
      <c r="AF181" s="36"/>
      <c r="AG181" s="36"/>
      <c r="AH181" s="36"/>
      <c r="AI181" s="36"/>
      <c r="AJ181" s="591"/>
      <c r="AK181" s="591"/>
      <c r="AL181" s="591"/>
      <c r="AM181" s="36"/>
      <c r="AN181" s="591"/>
      <c r="AO181" s="591"/>
      <c r="AP181" s="591"/>
      <c r="AQ181" s="37"/>
      <c r="AR181" s="36"/>
      <c r="AS181" s="36"/>
      <c r="AT181" s="36"/>
    </row>
    <row r="182" spans="2:46" x14ac:dyDescent="0.35">
      <c r="B182" s="552"/>
      <c r="C182" s="36"/>
      <c r="D182" s="586"/>
      <c r="E182" s="36"/>
      <c r="F182" s="36"/>
      <c r="G182" s="552"/>
      <c r="I182" s="591"/>
      <c r="J182" s="591"/>
      <c r="K182" s="37"/>
      <c r="L182" s="37"/>
      <c r="M182" s="591"/>
      <c r="N182" s="591"/>
      <c r="O182" s="591"/>
      <c r="P182" s="591"/>
      <c r="Q182" s="591"/>
      <c r="R182" s="591"/>
      <c r="S182" s="591"/>
      <c r="T182" s="591"/>
      <c r="U182" s="591"/>
      <c r="V182" s="591"/>
      <c r="W182" s="591"/>
      <c r="X182" s="591"/>
      <c r="Y182" s="591"/>
      <c r="Z182" s="591"/>
      <c r="AA182" s="591"/>
      <c r="AB182" s="591"/>
      <c r="AC182" s="591"/>
      <c r="AD182" s="591"/>
      <c r="AE182" s="591"/>
      <c r="AF182" s="591"/>
      <c r="AG182" s="591"/>
      <c r="AH182" s="591"/>
      <c r="AI182" s="591"/>
      <c r="AJ182" s="591"/>
      <c r="AK182" s="591"/>
      <c r="AL182" s="591"/>
      <c r="AM182" s="591"/>
      <c r="AN182" s="591"/>
      <c r="AO182" s="591"/>
      <c r="AP182" s="591"/>
      <c r="AQ182" s="37"/>
      <c r="AR182" s="36"/>
      <c r="AS182" s="36"/>
      <c r="AT182" s="36"/>
    </row>
    <row r="183" spans="2:46" x14ac:dyDescent="0.35">
      <c r="B183" s="552"/>
      <c r="C183" s="36"/>
      <c r="D183" s="586"/>
      <c r="E183" s="36"/>
      <c r="F183" s="36"/>
      <c r="G183" s="552"/>
      <c r="I183" s="591"/>
      <c r="J183" s="591"/>
      <c r="K183" s="37"/>
      <c r="L183" s="37"/>
      <c r="M183" s="36"/>
      <c r="N183" s="36"/>
      <c r="O183" s="36"/>
      <c r="P183" s="36"/>
      <c r="Q183" s="36"/>
      <c r="R183" s="36"/>
      <c r="S183" s="36"/>
      <c r="T183" s="36"/>
      <c r="U183" s="36"/>
      <c r="V183" s="36"/>
      <c r="W183" s="591"/>
      <c r="X183" s="591"/>
      <c r="Y183" s="36"/>
      <c r="Z183" s="36"/>
      <c r="AA183" s="36"/>
      <c r="AB183" s="36"/>
      <c r="AC183" s="591"/>
      <c r="AD183" s="36"/>
      <c r="AE183" s="36"/>
      <c r="AF183" s="36"/>
      <c r="AG183" s="36"/>
      <c r="AH183" s="36"/>
      <c r="AI183" s="36"/>
      <c r="AJ183" s="36"/>
      <c r="AK183" s="591"/>
      <c r="AL183" s="591"/>
      <c r="AM183" s="36"/>
      <c r="AN183" s="591"/>
      <c r="AO183" s="591"/>
      <c r="AP183" s="591"/>
      <c r="AQ183" s="37"/>
      <c r="AR183" s="36"/>
      <c r="AS183" s="36"/>
      <c r="AT183" s="36"/>
    </row>
    <row r="184" spans="2:46" x14ac:dyDescent="0.35">
      <c r="B184" s="552"/>
      <c r="C184" s="36"/>
      <c r="D184" s="586"/>
      <c r="E184" s="36"/>
      <c r="F184" s="36"/>
      <c r="G184" s="552"/>
      <c r="I184" s="591"/>
      <c r="J184" s="591"/>
      <c r="K184" s="37"/>
      <c r="L184" s="37"/>
      <c r="M184" s="591"/>
      <c r="N184" s="591"/>
      <c r="O184" s="591"/>
      <c r="P184" s="591"/>
      <c r="Q184" s="591"/>
      <c r="R184" s="591"/>
      <c r="S184" s="591"/>
      <c r="T184" s="591"/>
      <c r="U184" s="591"/>
      <c r="V184" s="591"/>
      <c r="W184" s="591"/>
      <c r="X184" s="591"/>
      <c r="Y184" s="591"/>
      <c r="Z184" s="591"/>
      <c r="AA184" s="591"/>
      <c r="AB184" s="591"/>
      <c r="AC184" s="591"/>
      <c r="AD184" s="591"/>
      <c r="AE184" s="591"/>
      <c r="AF184" s="591"/>
      <c r="AG184" s="591"/>
      <c r="AH184" s="591"/>
      <c r="AI184" s="591"/>
      <c r="AJ184" s="591"/>
      <c r="AK184" s="591"/>
      <c r="AL184" s="591"/>
      <c r="AM184" s="591"/>
      <c r="AN184" s="591"/>
      <c r="AO184" s="591"/>
      <c r="AP184" s="591"/>
      <c r="AQ184" s="37"/>
      <c r="AR184" s="36"/>
      <c r="AS184" s="36"/>
      <c r="AT184" s="36"/>
    </row>
    <row r="185" spans="2:46" x14ac:dyDescent="0.35">
      <c r="B185" s="552"/>
      <c r="C185" s="36"/>
      <c r="D185" s="586"/>
      <c r="E185" s="36"/>
      <c r="F185" s="36"/>
      <c r="G185" s="552"/>
      <c r="I185" s="591"/>
      <c r="J185" s="591"/>
      <c r="K185" s="37"/>
      <c r="L185" s="37"/>
      <c r="M185" s="591"/>
      <c r="N185" s="591"/>
      <c r="O185" s="591"/>
      <c r="P185" s="591"/>
      <c r="Q185" s="591"/>
      <c r="R185" s="591"/>
      <c r="S185" s="591"/>
      <c r="T185" s="591"/>
      <c r="U185" s="591"/>
      <c r="V185" s="591"/>
      <c r="W185" s="591"/>
      <c r="X185" s="591"/>
      <c r="Y185" s="591"/>
      <c r="Z185" s="591"/>
      <c r="AA185" s="591"/>
      <c r="AB185" s="591"/>
      <c r="AC185" s="591"/>
      <c r="AD185" s="591"/>
      <c r="AE185" s="591"/>
      <c r="AF185" s="591"/>
      <c r="AG185" s="591"/>
      <c r="AH185" s="591"/>
      <c r="AI185" s="591"/>
      <c r="AJ185" s="591"/>
      <c r="AK185" s="591"/>
      <c r="AL185" s="591"/>
      <c r="AM185" s="591"/>
      <c r="AN185" s="591"/>
      <c r="AO185" s="591"/>
      <c r="AP185" s="591"/>
      <c r="AQ185" s="37"/>
      <c r="AR185" s="36"/>
      <c r="AS185" s="36"/>
      <c r="AT185" s="36"/>
    </row>
    <row r="186" spans="2:46" x14ac:dyDescent="0.35">
      <c r="B186" s="552"/>
      <c r="C186" s="36"/>
      <c r="D186" s="586"/>
      <c r="E186" s="36"/>
      <c r="F186" s="36"/>
      <c r="G186" s="552"/>
      <c r="I186" s="591"/>
      <c r="J186" s="591"/>
      <c r="K186" s="37"/>
      <c r="L186" s="37"/>
      <c r="M186" s="591"/>
      <c r="N186" s="591"/>
      <c r="O186" s="591"/>
      <c r="P186" s="591"/>
      <c r="Q186" s="591"/>
      <c r="R186" s="591"/>
      <c r="S186" s="591"/>
      <c r="T186" s="591"/>
      <c r="U186" s="591"/>
      <c r="V186" s="591"/>
      <c r="W186" s="591"/>
      <c r="X186" s="591"/>
      <c r="Y186" s="591"/>
      <c r="Z186" s="591"/>
      <c r="AA186" s="591"/>
      <c r="AB186" s="591"/>
      <c r="AC186" s="591"/>
      <c r="AD186" s="591"/>
      <c r="AE186" s="591"/>
      <c r="AF186" s="591"/>
      <c r="AG186" s="591"/>
      <c r="AH186" s="591"/>
      <c r="AI186" s="591"/>
      <c r="AJ186" s="591"/>
      <c r="AK186" s="591"/>
      <c r="AL186" s="591"/>
      <c r="AM186" s="591"/>
      <c r="AN186" s="591"/>
      <c r="AO186" s="591"/>
      <c r="AP186" s="591"/>
      <c r="AQ186" s="37"/>
      <c r="AR186" s="36"/>
      <c r="AS186" s="36"/>
      <c r="AT186" s="36"/>
    </row>
    <row r="187" spans="2:46" x14ac:dyDescent="0.35">
      <c r="B187" s="552"/>
      <c r="C187" s="36"/>
      <c r="D187" s="586"/>
      <c r="E187" s="36"/>
      <c r="F187" s="36"/>
      <c r="G187" s="552"/>
      <c r="I187" s="591"/>
      <c r="J187" s="591"/>
      <c r="K187" s="37"/>
      <c r="L187" s="37"/>
      <c r="M187" s="591"/>
      <c r="N187" s="591"/>
      <c r="O187" s="591"/>
      <c r="P187" s="591"/>
      <c r="Q187" s="591"/>
      <c r="R187" s="591"/>
      <c r="S187" s="591"/>
      <c r="T187" s="591"/>
      <c r="U187" s="591"/>
      <c r="V187" s="591"/>
      <c r="W187" s="591"/>
      <c r="X187" s="591"/>
      <c r="Y187" s="591"/>
      <c r="Z187" s="591"/>
      <c r="AA187" s="591"/>
      <c r="AB187" s="591"/>
      <c r="AC187" s="591"/>
      <c r="AD187" s="591"/>
      <c r="AE187" s="591"/>
      <c r="AF187" s="591"/>
      <c r="AG187" s="591"/>
      <c r="AH187" s="591"/>
      <c r="AI187" s="591"/>
      <c r="AJ187" s="591"/>
      <c r="AK187" s="591"/>
      <c r="AL187" s="591"/>
      <c r="AM187" s="591"/>
      <c r="AN187" s="591"/>
      <c r="AO187" s="591"/>
      <c r="AP187" s="591"/>
      <c r="AQ187" s="37"/>
      <c r="AR187" s="36"/>
      <c r="AS187" s="36"/>
      <c r="AT187" s="36"/>
    </row>
    <row r="188" spans="2:46" x14ac:dyDescent="0.35">
      <c r="B188" s="552"/>
      <c r="C188" s="36"/>
      <c r="D188" s="586"/>
      <c r="E188" s="36"/>
      <c r="F188" s="36"/>
      <c r="G188" s="552"/>
      <c r="I188" s="591"/>
      <c r="J188" s="591"/>
      <c r="K188" s="37"/>
      <c r="L188" s="37"/>
      <c r="M188" s="591"/>
      <c r="N188" s="591"/>
      <c r="O188" s="591"/>
      <c r="P188" s="591"/>
      <c r="Q188" s="591"/>
      <c r="R188" s="591"/>
      <c r="S188" s="591"/>
      <c r="T188" s="591"/>
      <c r="U188" s="591"/>
      <c r="V188" s="591"/>
      <c r="W188" s="591"/>
      <c r="X188" s="591"/>
      <c r="Y188" s="591"/>
      <c r="Z188" s="591"/>
      <c r="AA188" s="591"/>
      <c r="AB188" s="591"/>
      <c r="AC188" s="591"/>
      <c r="AD188" s="591"/>
      <c r="AE188" s="591"/>
      <c r="AF188" s="591"/>
      <c r="AG188" s="591"/>
      <c r="AH188" s="591"/>
      <c r="AI188" s="591"/>
      <c r="AJ188" s="591"/>
      <c r="AK188" s="591"/>
      <c r="AL188" s="591"/>
      <c r="AM188" s="591"/>
      <c r="AN188" s="591"/>
      <c r="AO188" s="591"/>
      <c r="AP188" s="591"/>
      <c r="AQ188" s="37"/>
      <c r="AR188" s="36"/>
      <c r="AS188" s="36"/>
      <c r="AT188" s="36"/>
    </row>
    <row r="189" spans="2:46" x14ac:dyDescent="0.35">
      <c r="B189" s="552"/>
      <c r="C189" s="36"/>
      <c r="D189" s="586"/>
      <c r="E189" s="36"/>
      <c r="F189" s="36"/>
      <c r="G189" s="552"/>
      <c r="I189" s="591"/>
      <c r="J189" s="591"/>
      <c r="K189" s="37"/>
      <c r="L189" s="37"/>
      <c r="M189" s="591"/>
      <c r="N189" s="591"/>
      <c r="O189" s="591"/>
      <c r="P189" s="591"/>
      <c r="Q189" s="591"/>
      <c r="R189" s="591"/>
      <c r="S189" s="591"/>
      <c r="T189" s="591"/>
      <c r="U189" s="591"/>
      <c r="V189" s="591"/>
      <c r="W189" s="591"/>
      <c r="X189" s="591"/>
      <c r="Y189" s="591"/>
      <c r="Z189" s="591"/>
      <c r="AA189" s="591"/>
      <c r="AB189" s="591"/>
      <c r="AC189" s="591"/>
      <c r="AD189" s="591"/>
      <c r="AE189" s="591"/>
      <c r="AF189" s="591"/>
      <c r="AG189" s="591"/>
      <c r="AH189" s="591"/>
      <c r="AI189" s="591"/>
      <c r="AJ189" s="591"/>
      <c r="AK189" s="591"/>
      <c r="AL189" s="591"/>
      <c r="AM189" s="591"/>
      <c r="AN189" s="591"/>
      <c r="AO189" s="591"/>
      <c r="AP189" s="591"/>
      <c r="AQ189" s="37"/>
      <c r="AR189" s="36"/>
      <c r="AS189" s="36"/>
      <c r="AT189" s="36"/>
    </row>
    <row r="190" spans="2:46" x14ac:dyDescent="0.35">
      <c r="B190" s="552"/>
      <c r="C190" s="36"/>
      <c r="D190" s="586"/>
      <c r="E190" s="36"/>
      <c r="F190" s="36"/>
      <c r="G190" s="552"/>
      <c r="I190" s="591"/>
      <c r="J190" s="591"/>
      <c r="K190" s="37"/>
      <c r="L190" s="37"/>
      <c r="M190" s="591"/>
      <c r="N190" s="591"/>
      <c r="O190" s="591"/>
      <c r="P190" s="591"/>
      <c r="Q190" s="591"/>
      <c r="R190" s="591"/>
      <c r="S190" s="591"/>
      <c r="T190" s="591"/>
      <c r="U190" s="591"/>
      <c r="V190" s="591"/>
      <c r="W190" s="591"/>
      <c r="X190" s="591"/>
      <c r="Y190" s="591"/>
      <c r="Z190" s="591"/>
      <c r="AA190" s="591"/>
      <c r="AB190" s="591"/>
      <c r="AC190" s="591"/>
      <c r="AD190" s="591"/>
      <c r="AE190" s="591"/>
      <c r="AF190" s="591"/>
      <c r="AG190" s="591"/>
      <c r="AH190" s="591"/>
      <c r="AI190" s="591"/>
      <c r="AJ190" s="591"/>
      <c r="AK190" s="591"/>
      <c r="AL190" s="591"/>
      <c r="AM190" s="591"/>
      <c r="AN190" s="591"/>
      <c r="AO190" s="591"/>
      <c r="AP190" s="591"/>
      <c r="AQ190" s="37"/>
      <c r="AR190" s="36"/>
      <c r="AS190" s="36"/>
      <c r="AT190" s="36"/>
    </row>
    <row r="191" spans="2:46" x14ac:dyDescent="0.35">
      <c r="B191" s="552"/>
      <c r="G191" s="552"/>
      <c r="M191" s="554"/>
      <c r="N191" s="554"/>
      <c r="O191" s="554"/>
      <c r="P191" s="554"/>
      <c r="Q191" s="554"/>
      <c r="R191" s="554"/>
      <c r="S191" s="554"/>
      <c r="T191" s="554"/>
      <c r="U191" s="554"/>
      <c r="V191" s="554"/>
      <c r="Y191" s="554"/>
      <c r="Z191" s="554"/>
      <c r="AA191" s="554"/>
      <c r="AB191" s="554"/>
      <c r="AD191" s="554"/>
      <c r="AE191" s="554"/>
      <c r="AF191" s="554"/>
      <c r="AG191" s="554"/>
      <c r="AH191" s="554"/>
      <c r="AI191" s="554"/>
      <c r="AJ191" s="554"/>
      <c r="AM191" s="554"/>
    </row>
    <row r="192" spans="2:46" x14ac:dyDescent="0.35">
      <c r="B192" s="552"/>
      <c r="G192" s="552"/>
      <c r="M192" s="554"/>
      <c r="N192" s="554"/>
      <c r="O192" s="554"/>
      <c r="P192" s="554"/>
      <c r="Q192" s="554"/>
      <c r="R192" s="554"/>
      <c r="S192" s="554"/>
      <c r="T192" s="554"/>
      <c r="U192" s="554"/>
      <c r="V192" s="554"/>
      <c r="Y192" s="554"/>
      <c r="Z192" s="554"/>
      <c r="AA192" s="554"/>
      <c r="AB192" s="554"/>
      <c r="AD192" s="554"/>
      <c r="AE192" s="554"/>
      <c r="AF192" s="554"/>
      <c r="AG192" s="554"/>
      <c r="AH192" s="554"/>
      <c r="AI192" s="554"/>
      <c r="AJ192" s="554"/>
      <c r="AM192" s="554"/>
    </row>
    <row r="193" spans="2:39" x14ac:dyDescent="0.35">
      <c r="B193" s="552"/>
      <c r="G193" s="552"/>
      <c r="M193" s="554"/>
      <c r="N193" s="554"/>
      <c r="O193" s="554"/>
      <c r="P193" s="554"/>
      <c r="Q193" s="554"/>
      <c r="R193" s="554"/>
      <c r="S193" s="554"/>
      <c r="T193" s="554"/>
      <c r="U193" s="554"/>
      <c r="V193" s="554"/>
      <c r="Y193" s="554"/>
      <c r="Z193" s="554"/>
      <c r="AA193" s="554"/>
      <c r="AB193" s="554"/>
      <c r="AD193" s="554"/>
      <c r="AE193" s="554"/>
      <c r="AF193" s="554"/>
      <c r="AG193" s="554"/>
      <c r="AH193" s="554"/>
      <c r="AI193" s="554"/>
      <c r="AJ193" s="554"/>
      <c r="AM193" s="554"/>
    </row>
    <row r="194" spans="2:39" x14ac:dyDescent="0.35">
      <c r="B194" s="552"/>
      <c r="D194" s="552"/>
      <c r="F194" s="554"/>
      <c r="G194" s="552"/>
      <c r="H194" s="562"/>
      <c r="M194" s="554"/>
      <c r="N194" s="554"/>
      <c r="O194" s="554"/>
      <c r="P194" s="554"/>
      <c r="Q194" s="554"/>
      <c r="R194" s="554"/>
      <c r="S194" s="554"/>
      <c r="T194" s="554"/>
      <c r="U194" s="554"/>
      <c r="V194" s="554"/>
      <c r="Y194" s="554"/>
      <c r="Z194" s="554"/>
      <c r="AA194" s="554"/>
      <c r="AB194" s="554"/>
      <c r="AD194" s="554"/>
      <c r="AE194" s="554"/>
      <c r="AF194" s="554"/>
      <c r="AG194" s="554"/>
      <c r="AH194" s="554"/>
      <c r="AI194" s="554"/>
      <c r="AJ194" s="554"/>
      <c r="AM194" s="554"/>
    </row>
    <row r="195" spans="2:39" x14ac:dyDescent="0.35">
      <c r="B195" s="552"/>
      <c r="D195" s="552"/>
      <c r="F195" s="554"/>
      <c r="G195" s="552"/>
      <c r="H195" s="562"/>
      <c r="M195" s="554"/>
      <c r="N195" s="554"/>
      <c r="O195" s="554"/>
      <c r="P195" s="554"/>
      <c r="Q195" s="554"/>
      <c r="R195" s="554"/>
      <c r="S195" s="554"/>
      <c r="T195" s="554"/>
      <c r="U195" s="554"/>
      <c r="V195" s="554"/>
      <c r="Y195" s="554"/>
      <c r="Z195" s="554"/>
      <c r="AA195" s="554"/>
      <c r="AB195" s="554"/>
      <c r="AD195" s="554"/>
      <c r="AE195" s="554"/>
      <c r="AF195" s="554"/>
      <c r="AG195" s="554"/>
      <c r="AH195" s="554"/>
      <c r="AI195" s="554"/>
      <c r="AJ195" s="554"/>
      <c r="AM195" s="554"/>
    </row>
    <row r="196" spans="2:39" x14ac:dyDescent="0.35">
      <c r="B196" s="552"/>
      <c r="D196" s="552"/>
      <c r="F196" s="554"/>
      <c r="G196" s="552"/>
      <c r="H196" s="562"/>
      <c r="M196" s="554"/>
      <c r="N196" s="554"/>
      <c r="O196" s="554"/>
      <c r="P196" s="554"/>
      <c r="Q196" s="554"/>
      <c r="R196" s="554"/>
      <c r="S196" s="554"/>
      <c r="T196" s="554"/>
      <c r="U196" s="554"/>
      <c r="V196" s="554"/>
      <c r="Y196" s="554"/>
      <c r="Z196" s="554"/>
      <c r="AA196" s="554"/>
      <c r="AB196" s="554"/>
      <c r="AD196" s="554"/>
      <c r="AE196" s="554"/>
      <c r="AF196" s="554"/>
      <c r="AG196" s="554"/>
      <c r="AH196" s="554"/>
      <c r="AI196" s="554"/>
      <c r="AJ196" s="554"/>
      <c r="AM196" s="554"/>
    </row>
    <row r="197" spans="2:39" x14ac:dyDescent="0.35">
      <c r="B197" s="552"/>
      <c r="D197" s="552"/>
      <c r="F197" s="554"/>
      <c r="G197" s="552"/>
      <c r="H197" s="562"/>
      <c r="M197" s="554"/>
      <c r="N197" s="554"/>
      <c r="O197" s="554"/>
      <c r="P197" s="554"/>
      <c r="Q197" s="554"/>
      <c r="R197" s="554"/>
      <c r="S197" s="554"/>
      <c r="T197" s="554"/>
      <c r="U197" s="554"/>
      <c r="V197" s="554"/>
      <c r="Y197" s="554"/>
      <c r="Z197" s="554"/>
      <c r="AA197" s="554"/>
      <c r="AB197" s="554"/>
      <c r="AD197" s="554"/>
      <c r="AE197" s="554"/>
      <c r="AF197" s="554"/>
      <c r="AG197" s="554"/>
      <c r="AH197" s="554"/>
      <c r="AI197" s="554"/>
      <c r="AJ197" s="554"/>
      <c r="AM197" s="554"/>
    </row>
    <row r="198" spans="2:39" x14ac:dyDescent="0.35">
      <c r="B198" s="552"/>
      <c r="G198" s="552"/>
      <c r="M198" s="554"/>
      <c r="N198" s="554"/>
      <c r="O198" s="554"/>
      <c r="P198" s="554"/>
      <c r="Q198" s="554"/>
      <c r="R198" s="554"/>
      <c r="S198" s="554"/>
      <c r="T198" s="554"/>
      <c r="U198" s="554"/>
      <c r="V198" s="554"/>
      <c r="Y198" s="554"/>
      <c r="Z198" s="554"/>
      <c r="AA198" s="554"/>
      <c r="AB198" s="554"/>
      <c r="AD198" s="554"/>
      <c r="AE198" s="554"/>
      <c r="AF198" s="554"/>
      <c r="AG198" s="554"/>
      <c r="AH198" s="554"/>
      <c r="AI198" s="554"/>
      <c r="AJ198" s="554"/>
      <c r="AM198" s="554"/>
    </row>
    <row r="199" spans="2:39" x14ac:dyDescent="0.35">
      <c r="B199" s="552"/>
      <c r="G199" s="552"/>
      <c r="M199" s="554"/>
      <c r="N199" s="554"/>
      <c r="O199" s="554"/>
      <c r="P199" s="554"/>
      <c r="Q199" s="554"/>
      <c r="R199" s="554"/>
      <c r="S199" s="554"/>
      <c r="T199" s="554"/>
      <c r="U199" s="554"/>
      <c r="V199" s="554"/>
      <c r="Y199" s="554"/>
      <c r="Z199" s="554"/>
      <c r="AA199" s="554"/>
      <c r="AB199" s="554"/>
      <c r="AD199" s="554"/>
      <c r="AE199" s="554"/>
      <c r="AF199" s="554"/>
      <c r="AG199" s="554"/>
      <c r="AH199" s="554"/>
      <c r="AI199" s="554"/>
      <c r="AJ199" s="554"/>
      <c r="AM199" s="554"/>
    </row>
    <row r="200" spans="2:39" x14ac:dyDescent="0.35">
      <c r="B200" s="552"/>
      <c r="G200" s="552"/>
      <c r="M200" s="554"/>
      <c r="N200" s="554"/>
      <c r="O200" s="554"/>
      <c r="P200" s="554"/>
      <c r="Q200" s="554"/>
      <c r="R200" s="554"/>
      <c r="S200" s="554"/>
      <c r="T200" s="554"/>
      <c r="U200" s="554"/>
      <c r="V200" s="554"/>
      <c r="Y200" s="554"/>
      <c r="Z200" s="554"/>
      <c r="AA200" s="554"/>
      <c r="AB200" s="554"/>
      <c r="AD200" s="554"/>
      <c r="AE200" s="554"/>
      <c r="AF200" s="554"/>
      <c r="AG200" s="554"/>
      <c r="AH200" s="554"/>
      <c r="AI200" s="554"/>
      <c r="AJ200" s="554"/>
      <c r="AM200" s="554"/>
    </row>
    <row r="201" spans="2:39" x14ac:dyDescent="0.35">
      <c r="B201" s="552"/>
      <c r="G201" s="552"/>
      <c r="M201" s="554"/>
      <c r="N201" s="554"/>
      <c r="O201" s="554"/>
      <c r="P201" s="554"/>
      <c r="Q201" s="554"/>
      <c r="R201" s="554"/>
      <c r="S201" s="554"/>
      <c r="T201" s="554"/>
      <c r="U201" s="554"/>
      <c r="V201" s="554"/>
      <c r="Y201" s="554"/>
      <c r="Z201" s="554"/>
      <c r="AA201" s="554"/>
      <c r="AB201" s="554"/>
      <c r="AD201" s="554"/>
      <c r="AE201" s="554"/>
      <c r="AF201" s="554"/>
      <c r="AG201" s="554"/>
      <c r="AH201" s="554"/>
      <c r="AI201" s="554"/>
      <c r="AJ201" s="554"/>
      <c r="AM201" s="554"/>
    </row>
    <row r="202" spans="2:39" x14ac:dyDescent="0.35">
      <c r="B202" s="552"/>
      <c r="G202" s="552"/>
      <c r="M202" s="554"/>
      <c r="N202" s="554"/>
      <c r="O202" s="554"/>
      <c r="P202" s="554"/>
      <c r="Q202" s="554"/>
      <c r="R202" s="554"/>
      <c r="S202" s="554"/>
      <c r="T202" s="554"/>
      <c r="U202" s="554"/>
      <c r="V202" s="554"/>
      <c r="Y202" s="554"/>
      <c r="Z202" s="554"/>
      <c r="AA202" s="554"/>
      <c r="AB202" s="554"/>
      <c r="AD202" s="554"/>
      <c r="AE202" s="554"/>
      <c r="AF202" s="554"/>
      <c r="AG202" s="554"/>
      <c r="AH202" s="554"/>
      <c r="AI202" s="554"/>
      <c r="AJ202" s="554"/>
      <c r="AM202" s="554"/>
    </row>
    <row r="203" spans="2:39" x14ac:dyDescent="0.35">
      <c r="B203" s="552"/>
      <c r="G203" s="552"/>
      <c r="M203" s="554"/>
      <c r="N203" s="554"/>
      <c r="O203" s="554"/>
      <c r="P203" s="554"/>
      <c r="Q203" s="554"/>
      <c r="R203" s="554"/>
      <c r="S203" s="554"/>
      <c r="T203" s="554"/>
      <c r="U203" s="554"/>
      <c r="V203" s="554"/>
      <c r="Y203" s="554"/>
      <c r="Z203" s="554"/>
      <c r="AA203" s="554"/>
      <c r="AB203" s="554"/>
      <c r="AD203" s="554"/>
      <c r="AE203" s="554"/>
      <c r="AF203" s="554"/>
      <c r="AG203" s="554"/>
      <c r="AH203" s="554"/>
      <c r="AI203" s="554"/>
      <c r="AJ203" s="554"/>
      <c r="AM203" s="554"/>
    </row>
    <row r="204" spans="2:39" x14ac:dyDescent="0.35">
      <c r="B204" s="552"/>
      <c r="G204" s="552"/>
      <c r="M204" s="554"/>
      <c r="N204" s="554"/>
      <c r="O204" s="554"/>
      <c r="P204" s="554"/>
      <c r="Q204" s="554"/>
      <c r="R204" s="554"/>
      <c r="S204" s="554"/>
      <c r="T204" s="554"/>
      <c r="U204" s="554"/>
      <c r="V204" s="554"/>
      <c r="Y204" s="554"/>
      <c r="Z204" s="554"/>
      <c r="AA204" s="554"/>
      <c r="AB204" s="554"/>
      <c r="AD204" s="554"/>
      <c r="AE204" s="554"/>
      <c r="AF204" s="554"/>
      <c r="AG204" s="554"/>
      <c r="AH204" s="554"/>
      <c r="AI204" s="554"/>
      <c r="AJ204" s="554"/>
      <c r="AM204" s="554"/>
    </row>
    <row r="205" spans="2:39" x14ac:dyDescent="0.35">
      <c r="B205" s="552"/>
      <c r="D205" s="552"/>
      <c r="G205" s="552"/>
      <c r="I205" s="552"/>
      <c r="J205" s="552"/>
      <c r="K205" s="552"/>
      <c r="L205" s="552"/>
      <c r="M205" s="554"/>
      <c r="N205" s="554"/>
      <c r="O205" s="554"/>
      <c r="P205" s="554"/>
      <c r="Q205" s="554"/>
      <c r="R205" s="554"/>
      <c r="S205" s="554"/>
      <c r="T205" s="554"/>
      <c r="U205" s="554"/>
      <c r="V205" s="554"/>
      <c r="Y205" s="554"/>
      <c r="Z205" s="554"/>
      <c r="AA205" s="554"/>
      <c r="AB205" s="554"/>
      <c r="AD205" s="554"/>
      <c r="AE205" s="554"/>
      <c r="AF205" s="554"/>
      <c r="AG205" s="554"/>
      <c r="AH205" s="554"/>
      <c r="AI205" s="554"/>
      <c r="AJ205" s="554"/>
      <c r="AM205" s="554"/>
    </row>
    <row r="206" spans="2:39" x14ac:dyDescent="0.35">
      <c r="B206" s="552"/>
      <c r="D206" s="552"/>
      <c r="G206" s="552"/>
      <c r="I206" s="552"/>
      <c r="J206" s="552"/>
      <c r="K206" s="552"/>
      <c r="L206" s="552"/>
      <c r="M206" s="554"/>
      <c r="N206" s="554"/>
      <c r="O206" s="554"/>
      <c r="P206" s="554"/>
      <c r="Q206" s="554"/>
      <c r="R206" s="554"/>
      <c r="S206" s="554"/>
      <c r="T206" s="554"/>
      <c r="U206" s="554"/>
      <c r="V206" s="554"/>
      <c r="Y206" s="554"/>
      <c r="Z206" s="554"/>
      <c r="AA206" s="554"/>
      <c r="AB206" s="554"/>
      <c r="AD206" s="554"/>
      <c r="AE206" s="554"/>
      <c r="AF206" s="554"/>
      <c r="AG206" s="554"/>
      <c r="AH206" s="554"/>
      <c r="AI206" s="554"/>
      <c r="AJ206" s="554"/>
      <c r="AM206" s="554"/>
    </row>
    <row r="207" spans="2:39" x14ac:dyDescent="0.35">
      <c r="B207" s="552"/>
      <c r="D207" s="552"/>
      <c r="G207" s="552"/>
      <c r="I207" s="552"/>
      <c r="J207" s="552"/>
      <c r="K207" s="552"/>
      <c r="L207" s="552"/>
      <c r="M207" s="554"/>
      <c r="N207" s="554"/>
      <c r="O207" s="554"/>
      <c r="P207" s="554"/>
      <c r="Q207" s="554"/>
      <c r="R207" s="554"/>
      <c r="S207" s="554"/>
      <c r="T207" s="554"/>
      <c r="U207" s="554"/>
      <c r="V207" s="554"/>
      <c r="Y207" s="554"/>
      <c r="Z207" s="554"/>
      <c r="AA207" s="554"/>
      <c r="AB207" s="554"/>
      <c r="AD207" s="554"/>
      <c r="AE207" s="554"/>
      <c r="AF207" s="554"/>
      <c r="AG207" s="554"/>
      <c r="AH207" s="554"/>
      <c r="AI207" s="554"/>
      <c r="AJ207" s="554"/>
      <c r="AM207" s="554"/>
    </row>
    <row r="208" spans="2:39" x14ac:dyDescent="0.35">
      <c r="B208" s="552"/>
      <c r="D208" s="552"/>
      <c r="G208" s="552"/>
      <c r="I208" s="552"/>
      <c r="J208" s="552"/>
      <c r="K208" s="552"/>
      <c r="L208" s="552"/>
      <c r="M208" s="554"/>
      <c r="N208" s="554"/>
      <c r="O208" s="554"/>
      <c r="P208" s="554"/>
      <c r="Q208" s="554"/>
      <c r="R208" s="554"/>
      <c r="S208" s="554"/>
      <c r="T208" s="554"/>
      <c r="U208" s="554"/>
      <c r="V208" s="554"/>
      <c r="Y208" s="554"/>
      <c r="Z208" s="554"/>
      <c r="AA208" s="554"/>
      <c r="AB208" s="554"/>
      <c r="AD208" s="554"/>
      <c r="AE208" s="554"/>
      <c r="AF208" s="554"/>
      <c r="AG208" s="554"/>
      <c r="AH208" s="554"/>
      <c r="AI208" s="554"/>
      <c r="AJ208" s="554"/>
      <c r="AM208" s="554"/>
    </row>
    <row r="209" spans="2:43" x14ac:dyDescent="0.35">
      <c r="B209" s="552"/>
      <c r="D209" s="552"/>
      <c r="G209" s="552"/>
      <c r="I209" s="552"/>
      <c r="J209" s="552"/>
      <c r="K209" s="552"/>
      <c r="L209" s="552"/>
      <c r="M209" s="554"/>
      <c r="N209" s="554"/>
      <c r="O209" s="554"/>
      <c r="P209" s="554"/>
      <c r="Q209" s="554"/>
      <c r="R209" s="554"/>
      <c r="S209" s="554"/>
      <c r="T209" s="554"/>
      <c r="U209" s="554"/>
      <c r="V209" s="554"/>
      <c r="Y209" s="554"/>
      <c r="Z209" s="554"/>
      <c r="AA209" s="554"/>
      <c r="AB209" s="554"/>
      <c r="AD209" s="554"/>
      <c r="AE209" s="554"/>
      <c r="AF209" s="554"/>
      <c r="AG209" s="554"/>
      <c r="AH209" s="554"/>
      <c r="AI209" s="554"/>
      <c r="AJ209" s="554"/>
      <c r="AM209" s="554"/>
    </row>
    <row r="210" spans="2:43" x14ac:dyDescent="0.35">
      <c r="B210" s="552"/>
      <c r="D210" s="552"/>
      <c r="G210" s="552"/>
      <c r="I210" s="552"/>
      <c r="J210" s="552"/>
      <c r="K210" s="552"/>
      <c r="L210" s="552"/>
      <c r="M210" s="554"/>
      <c r="N210" s="554"/>
      <c r="O210" s="554"/>
      <c r="P210" s="554"/>
      <c r="Q210" s="554"/>
      <c r="R210" s="554"/>
      <c r="S210" s="554"/>
      <c r="T210" s="554"/>
      <c r="U210" s="554"/>
      <c r="V210" s="554"/>
      <c r="Y210" s="554"/>
      <c r="Z210" s="554"/>
      <c r="AA210" s="554"/>
      <c r="AB210" s="554"/>
      <c r="AD210" s="554"/>
      <c r="AE210" s="554"/>
      <c r="AF210" s="554"/>
      <c r="AG210" s="554"/>
      <c r="AH210" s="554"/>
      <c r="AI210" s="554"/>
      <c r="AJ210" s="554"/>
      <c r="AM210" s="554"/>
    </row>
    <row r="211" spans="2:43" x14ac:dyDescent="0.35">
      <c r="B211" s="552"/>
      <c r="D211" s="552"/>
      <c r="G211" s="552"/>
      <c r="I211" s="552"/>
      <c r="J211" s="552"/>
      <c r="K211" s="552"/>
      <c r="L211" s="552"/>
      <c r="M211" s="554"/>
      <c r="N211" s="554"/>
      <c r="O211" s="554"/>
      <c r="P211" s="554"/>
      <c r="Q211" s="554"/>
      <c r="R211" s="554"/>
      <c r="S211" s="554"/>
      <c r="T211" s="554"/>
      <c r="U211" s="554"/>
      <c r="V211" s="554"/>
      <c r="Y211" s="554"/>
      <c r="Z211" s="554"/>
      <c r="AA211" s="554"/>
      <c r="AB211" s="554"/>
      <c r="AD211" s="554"/>
      <c r="AE211" s="554"/>
      <c r="AF211" s="554"/>
      <c r="AG211" s="554"/>
      <c r="AH211" s="554"/>
      <c r="AI211" s="554"/>
      <c r="AJ211" s="554"/>
      <c r="AM211" s="554"/>
    </row>
    <row r="212" spans="2:43" x14ac:dyDescent="0.35">
      <c r="B212" s="552"/>
      <c r="D212" s="552"/>
      <c r="G212" s="552"/>
      <c r="I212" s="552"/>
      <c r="J212" s="552"/>
      <c r="K212" s="552"/>
      <c r="L212" s="552"/>
      <c r="M212" s="554"/>
      <c r="N212" s="554"/>
      <c r="O212" s="554"/>
      <c r="P212" s="554"/>
      <c r="Q212" s="554"/>
      <c r="R212" s="554"/>
      <c r="S212" s="554"/>
      <c r="T212" s="554"/>
      <c r="U212" s="554"/>
      <c r="V212" s="554"/>
      <c r="Y212" s="554"/>
      <c r="Z212" s="554"/>
      <c r="AA212" s="554"/>
      <c r="AB212" s="554"/>
      <c r="AD212" s="554"/>
      <c r="AE212" s="554"/>
      <c r="AF212" s="554"/>
      <c r="AG212" s="554"/>
      <c r="AH212" s="554"/>
      <c r="AI212" s="554"/>
      <c r="AJ212" s="554"/>
      <c r="AM212" s="554"/>
    </row>
    <row r="213" spans="2:43" x14ac:dyDescent="0.35">
      <c r="B213" s="552"/>
      <c r="D213" s="552"/>
      <c r="G213" s="552"/>
      <c r="I213" s="552"/>
      <c r="J213" s="552"/>
      <c r="K213" s="552"/>
      <c r="L213" s="552"/>
      <c r="M213" s="554"/>
      <c r="N213" s="554"/>
      <c r="O213" s="554"/>
      <c r="P213" s="554"/>
      <c r="Q213" s="554"/>
      <c r="R213" s="554"/>
      <c r="S213" s="554"/>
      <c r="T213" s="554"/>
      <c r="U213" s="554"/>
      <c r="V213" s="554"/>
      <c r="Y213" s="554"/>
      <c r="Z213" s="554"/>
      <c r="AA213" s="554"/>
      <c r="AB213" s="554"/>
      <c r="AD213" s="554"/>
      <c r="AE213" s="554"/>
      <c r="AF213" s="554"/>
      <c r="AG213" s="554"/>
      <c r="AH213" s="554"/>
      <c r="AI213" s="554"/>
      <c r="AJ213" s="554"/>
      <c r="AM213" s="554"/>
    </row>
    <row r="214" spans="2:43" x14ac:dyDescent="0.35">
      <c r="B214" s="552"/>
      <c r="D214" s="552"/>
      <c r="G214" s="552"/>
      <c r="I214" s="552"/>
      <c r="J214" s="552"/>
      <c r="K214" s="552"/>
      <c r="L214" s="552"/>
      <c r="M214" s="554"/>
      <c r="N214" s="554"/>
      <c r="O214" s="554"/>
      <c r="P214" s="554"/>
      <c r="Q214" s="554"/>
      <c r="R214" s="554"/>
      <c r="S214" s="554"/>
      <c r="T214" s="554"/>
      <c r="U214" s="554"/>
      <c r="V214" s="554"/>
      <c r="Y214" s="554"/>
      <c r="Z214" s="554"/>
      <c r="AA214" s="554"/>
      <c r="AB214" s="554"/>
      <c r="AD214" s="554"/>
      <c r="AE214" s="554"/>
      <c r="AF214" s="554"/>
      <c r="AG214" s="554"/>
      <c r="AH214" s="554"/>
      <c r="AI214" s="554"/>
      <c r="AJ214" s="554"/>
      <c r="AM214" s="554"/>
    </row>
    <row r="215" spans="2:43" x14ac:dyDescent="0.35">
      <c r="B215" s="552"/>
      <c r="D215" s="552"/>
      <c r="G215" s="552"/>
      <c r="I215" s="552"/>
      <c r="J215" s="552"/>
      <c r="K215" s="552"/>
      <c r="L215" s="552"/>
      <c r="M215" s="554"/>
      <c r="N215" s="554"/>
      <c r="O215" s="554"/>
      <c r="P215" s="554"/>
      <c r="Q215" s="554"/>
      <c r="R215" s="554"/>
      <c r="S215" s="554"/>
      <c r="T215" s="554"/>
      <c r="U215" s="554"/>
      <c r="V215" s="554"/>
      <c r="Y215" s="554"/>
      <c r="Z215" s="554"/>
      <c r="AA215" s="554"/>
      <c r="AB215" s="554"/>
      <c r="AD215" s="554"/>
      <c r="AE215" s="554"/>
      <c r="AF215" s="554"/>
      <c r="AG215" s="554"/>
      <c r="AH215" s="554"/>
      <c r="AI215" s="554"/>
      <c r="AJ215" s="554"/>
      <c r="AM215" s="554"/>
    </row>
    <row r="216" spans="2:43" x14ac:dyDescent="0.35">
      <c r="B216" s="552"/>
      <c r="D216" s="552"/>
      <c r="G216" s="552"/>
      <c r="I216" s="552"/>
      <c r="J216" s="552"/>
      <c r="K216" s="552"/>
      <c r="L216" s="552"/>
      <c r="M216" s="554"/>
      <c r="N216" s="554"/>
      <c r="O216" s="554"/>
      <c r="P216" s="554"/>
      <c r="Q216" s="554"/>
      <c r="R216" s="554"/>
      <c r="S216" s="554"/>
      <c r="T216" s="554"/>
      <c r="U216" s="554"/>
      <c r="V216" s="554"/>
      <c r="Y216" s="554"/>
      <c r="Z216" s="554"/>
      <c r="AA216" s="554"/>
      <c r="AB216" s="554"/>
      <c r="AD216" s="554"/>
      <c r="AE216" s="554"/>
      <c r="AF216" s="554"/>
      <c r="AG216" s="554"/>
      <c r="AH216" s="554"/>
      <c r="AI216" s="554"/>
      <c r="AJ216" s="554"/>
      <c r="AM216" s="554"/>
    </row>
    <row r="217" spans="2:43" x14ac:dyDescent="0.35">
      <c r="B217" s="552"/>
      <c r="D217" s="552"/>
      <c r="G217" s="552"/>
      <c r="I217" s="552"/>
      <c r="J217" s="552"/>
      <c r="K217" s="552"/>
      <c r="L217" s="552"/>
      <c r="M217" s="554"/>
      <c r="N217" s="554"/>
      <c r="O217" s="554"/>
      <c r="P217" s="554"/>
      <c r="Q217" s="554"/>
      <c r="R217" s="554"/>
      <c r="S217" s="554"/>
      <c r="T217" s="554"/>
      <c r="U217" s="554"/>
      <c r="V217" s="554"/>
      <c r="Y217" s="554"/>
      <c r="Z217" s="554"/>
      <c r="AA217" s="554"/>
      <c r="AB217" s="554"/>
      <c r="AD217" s="554"/>
      <c r="AE217" s="554"/>
      <c r="AF217" s="554"/>
      <c r="AG217" s="554"/>
      <c r="AH217" s="554"/>
      <c r="AI217" s="554"/>
      <c r="AJ217" s="554"/>
      <c r="AM217" s="554"/>
    </row>
    <row r="218" spans="2:43" x14ac:dyDescent="0.35">
      <c r="B218" s="552"/>
      <c r="D218" s="552"/>
      <c r="G218" s="552"/>
      <c r="I218" s="552"/>
      <c r="J218" s="552"/>
      <c r="K218" s="552"/>
      <c r="L218" s="552"/>
      <c r="M218" s="554"/>
      <c r="N218" s="554"/>
      <c r="O218" s="554"/>
      <c r="P218" s="554"/>
      <c r="Q218" s="554"/>
      <c r="R218" s="554"/>
      <c r="S218" s="554"/>
      <c r="T218" s="554"/>
      <c r="U218" s="554"/>
      <c r="V218" s="554"/>
      <c r="Y218" s="554"/>
      <c r="Z218" s="554"/>
      <c r="AA218" s="554"/>
      <c r="AB218" s="554"/>
      <c r="AD218" s="554"/>
      <c r="AE218" s="554"/>
      <c r="AF218" s="554"/>
      <c r="AG218" s="554"/>
      <c r="AH218" s="554"/>
      <c r="AI218" s="554"/>
      <c r="AJ218" s="554"/>
      <c r="AM218" s="554"/>
    </row>
    <row r="219" spans="2:43" x14ac:dyDescent="0.35">
      <c r="B219" s="552"/>
      <c r="D219" s="552"/>
      <c r="G219" s="552"/>
      <c r="I219" s="552"/>
      <c r="J219" s="552"/>
      <c r="K219" s="552"/>
      <c r="L219" s="552"/>
      <c r="M219" s="554"/>
      <c r="N219" s="554"/>
      <c r="O219" s="554"/>
      <c r="P219" s="554"/>
      <c r="Q219" s="554"/>
      <c r="R219" s="554"/>
      <c r="S219" s="554"/>
      <c r="T219" s="554"/>
      <c r="U219" s="554"/>
      <c r="V219" s="554"/>
      <c r="Y219" s="554"/>
      <c r="Z219" s="554"/>
      <c r="AA219" s="554"/>
      <c r="AB219" s="554"/>
      <c r="AD219" s="554"/>
      <c r="AE219" s="554"/>
      <c r="AF219" s="554"/>
      <c r="AG219" s="554"/>
      <c r="AH219" s="554"/>
      <c r="AI219" s="554"/>
      <c r="AJ219" s="554"/>
      <c r="AM219" s="554"/>
    </row>
    <row r="220" spans="2:43" x14ac:dyDescent="0.35">
      <c r="B220" s="552"/>
      <c r="D220" s="552"/>
      <c r="G220" s="552"/>
      <c r="I220" s="552"/>
      <c r="J220" s="552"/>
      <c r="K220" s="552"/>
      <c r="L220" s="552"/>
      <c r="M220" s="554"/>
      <c r="N220" s="554"/>
      <c r="O220" s="554"/>
      <c r="P220" s="554"/>
      <c r="Q220" s="554"/>
      <c r="R220" s="554"/>
      <c r="S220" s="554"/>
      <c r="T220" s="554"/>
      <c r="U220" s="554"/>
      <c r="V220" s="554"/>
      <c r="Y220" s="554"/>
      <c r="Z220" s="554"/>
      <c r="AA220" s="554"/>
      <c r="AB220" s="554"/>
      <c r="AD220" s="554"/>
      <c r="AE220" s="554"/>
      <c r="AF220" s="554"/>
      <c r="AG220" s="554"/>
      <c r="AH220" s="554"/>
      <c r="AI220" s="554"/>
      <c r="AJ220" s="554"/>
      <c r="AM220" s="554"/>
    </row>
    <row r="221" spans="2:43" x14ac:dyDescent="0.35">
      <c r="B221" s="552"/>
      <c r="D221" s="552"/>
      <c r="G221" s="552"/>
      <c r="I221" s="552"/>
      <c r="J221" s="552"/>
      <c r="K221" s="552"/>
      <c r="L221" s="552"/>
      <c r="M221" s="554"/>
      <c r="N221" s="554"/>
      <c r="O221" s="554"/>
      <c r="P221" s="554"/>
      <c r="Q221" s="554"/>
      <c r="R221" s="554"/>
      <c r="S221" s="554"/>
      <c r="T221" s="554"/>
      <c r="U221" s="554"/>
      <c r="V221" s="554"/>
      <c r="Y221" s="554"/>
      <c r="Z221" s="554"/>
      <c r="AA221" s="554"/>
      <c r="AB221" s="554"/>
      <c r="AD221" s="554"/>
      <c r="AE221" s="554"/>
      <c r="AF221" s="554"/>
      <c r="AG221" s="554"/>
      <c r="AH221" s="554"/>
      <c r="AI221" s="554"/>
      <c r="AJ221" s="554"/>
      <c r="AK221" s="552"/>
      <c r="AL221" s="552"/>
      <c r="AM221" s="554"/>
      <c r="AN221" s="552"/>
      <c r="AO221" s="552"/>
      <c r="AP221" s="552"/>
      <c r="AQ221" s="552"/>
    </row>
    <row r="222" spans="2:43" x14ac:dyDescent="0.35">
      <c r="B222" s="552"/>
      <c r="D222" s="552"/>
      <c r="G222" s="552"/>
      <c r="I222" s="552"/>
      <c r="J222" s="552"/>
      <c r="K222" s="552"/>
      <c r="L222" s="552"/>
      <c r="M222" s="554"/>
      <c r="N222" s="554"/>
      <c r="O222" s="554"/>
      <c r="P222" s="554"/>
      <c r="Q222" s="554"/>
      <c r="R222" s="554"/>
      <c r="S222" s="554"/>
      <c r="T222" s="554"/>
      <c r="U222" s="554"/>
      <c r="V222" s="554"/>
      <c r="Y222" s="554"/>
      <c r="Z222" s="554"/>
      <c r="AA222" s="554"/>
      <c r="AB222" s="554"/>
      <c r="AD222" s="554"/>
      <c r="AE222" s="554"/>
      <c r="AF222" s="554"/>
      <c r="AG222" s="554"/>
      <c r="AH222" s="554"/>
      <c r="AI222" s="554"/>
      <c r="AJ222" s="554"/>
      <c r="AK222" s="552"/>
      <c r="AL222" s="552"/>
      <c r="AM222" s="554"/>
      <c r="AN222" s="552"/>
      <c r="AO222" s="552"/>
      <c r="AP222" s="552"/>
      <c r="AQ222" s="552"/>
    </row>
    <row r="223" spans="2:43" x14ac:dyDescent="0.35">
      <c r="B223" s="552"/>
      <c r="D223" s="552"/>
      <c r="G223" s="552"/>
      <c r="I223" s="552"/>
      <c r="J223" s="552"/>
      <c r="K223" s="552"/>
      <c r="L223" s="552"/>
      <c r="M223" s="554"/>
      <c r="N223" s="554"/>
      <c r="O223" s="554"/>
      <c r="P223" s="554"/>
      <c r="Q223" s="554"/>
      <c r="R223" s="554"/>
      <c r="S223" s="554"/>
      <c r="T223" s="554"/>
      <c r="U223" s="554"/>
      <c r="V223" s="554"/>
      <c r="Y223" s="554"/>
      <c r="Z223" s="554"/>
      <c r="AA223" s="554"/>
      <c r="AB223" s="554"/>
      <c r="AD223" s="554"/>
      <c r="AE223" s="554"/>
      <c r="AF223" s="554"/>
      <c r="AG223" s="554"/>
      <c r="AH223" s="554"/>
      <c r="AI223" s="554"/>
      <c r="AJ223" s="554"/>
      <c r="AK223" s="552"/>
      <c r="AL223" s="552"/>
      <c r="AM223" s="554"/>
      <c r="AN223" s="552"/>
      <c r="AO223" s="552"/>
      <c r="AP223" s="552"/>
      <c r="AQ223" s="552"/>
    </row>
    <row r="224" spans="2:43" x14ac:dyDescent="0.35">
      <c r="B224" s="552"/>
      <c r="D224" s="552"/>
      <c r="G224" s="552"/>
      <c r="I224" s="552"/>
      <c r="J224" s="552"/>
      <c r="K224" s="552"/>
      <c r="L224" s="552"/>
      <c r="M224" s="554"/>
      <c r="N224" s="554"/>
      <c r="O224" s="554"/>
      <c r="P224" s="554"/>
      <c r="Q224" s="554"/>
      <c r="R224" s="554"/>
      <c r="S224" s="554"/>
      <c r="T224" s="554"/>
      <c r="U224" s="554"/>
      <c r="V224" s="554"/>
      <c r="Y224" s="554"/>
      <c r="Z224" s="554"/>
      <c r="AA224" s="554"/>
      <c r="AB224" s="554"/>
      <c r="AD224" s="554"/>
      <c r="AE224" s="554"/>
      <c r="AF224" s="554"/>
      <c r="AG224" s="554"/>
      <c r="AH224" s="554"/>
      <c r="AI224" s="554"/>
      <c r="AJ224" s="554"/>
      <c r="AK224" s="552"/>
      <c r="AL224" s="552"/>
      <c r="AM224" s="554"/>
      <c r="AN224" s="552"/>
      <c r="AO224" s="552"/>
      <c r="AP224" s="552"/>
      <c r="AQ224" s="552"/>
    </row>
    <row r="225" spans="8:39" s="552" customFormat="1" x14ac:dyDescent="0.35">
      <c r="H225" s="553"/>
      <c r="M225" s="554"/>
      <c r="N225" s="554"/>
      <c r="O225" s="554"/>
      <c r="P225" s="554"/>
      <c r="Q225" s="554"/>
      <c r="R225" s="554"/>
      <c r="S225" s="554"/>
      <c r="T225" s="554"/>
      <c r="U225" s="554"/>
      <c r="V225" s="554"/>
      <c r="W225" s="554"/>
      <c r="X225" s="554"/>
      <c r="Y225" s="554"/>
      <c r="Z225" s="554"/>
      <c r="AA225" s="554"/>
      <c r="AB225" s="554"/>
      <c r="AC225" s="554"/>
      <c r="AD225" s="554"/>
      <c r="AE225" s="554"/>
      <c r="AF225" s="554"/>
      <c r="AG225" s="554"/>
      <c r="AH225" s="554"/>
      <c r="AI225" s="554"/>
      <c r="AJ225" s="554"/>
      <c r="AM225" s="554"/>
    </row>
    <row r="226" spans="8:39" s="552" customFormat="1" x14ac:dyDescent="0.35">
      <c r="H226" s="553"/>
      <c r="M226" s="554"/>
      <c r="N226" s="554"/>
      <c r="O226" s="554"/>
      <c r="P226" s="554"/>
      <c r="Q226" s="554"/>
      <c r="R226" s="554"/>
      <c r="S226" s="554"/>
      <c r="T226" s="554"/>
      <c r="U226" s="554"/>
      <c r="V226" s="554"/>
      <c r="W226" s="554"/>
      <c r="X226" s="554"/>
      <c r="Y226" s="554"/>
      <c r="Z226" s="554"/>
      <c r="AA226" s="554"/>
      <c r="AB226" s="554"/>
      <c r="AC226" s="554"/>
      <c r="AD226" s="554"/>
      <c r="AE226" s="554"/>
      <c r="AF226" s="554"/>
      <c r="AG226" s="554"/>
      <c r="AH226" s="554"/>
      <c r="AI226" s="554"/>
      <c r="AJ226" s="554"/>
      <c r="AM226" s="554"/>
    </row>
    <row r="227" spans="8:39" s="552" customFormat="1" x14ac:dyDescent="0.35">
      <c r="H227" s="553"/>
      <c r="M227" s="554"/>
      <c r="N227" s="554"/>
      <c r="O227" s="554"/>
      <c r="P227" s="554"/>
      <c r="Q227" s="554"/>
      <c r="R227" s="554"/>
      <c r="S227" s="554"/>
      <c r="T227" s="554"/>
      <c r="U227" s="554"/>
      <c r="V227" s="554"/>
      <c r="W227" s="554"/>
      <c r="X227" s="554"/>
      <c r="Y227" s="554"/>
      <c r="Z227" s="554"/>
      <c r="AA227" s="554"/>
      <c r="AB227" s="554"/>
      <c r="AC227" s="554"/>
      <c r="AD227" s="554"/>
      <c r="AE227" s="554"/>
      <c r="AF227" s="554"/>
      <c r="AG227" s="554"/>
      <c r="AH227" s="554"/>
      <c r="AI227" s="554"/>
      <c r="AJ227" s="554"/>
      <c r="AM227" s="554"/>
    </row>
    <row r="228" spans="8:39" s="552" customFormat="1" x14ac:dyDescent="0.35">
      <c r="H228" s="553"/>
      <c r="M228" s="554"/>
      <c r="N228" s="554"/>
      <c r="O228" s="554"/>
      <c r="P228" s="554"/>
      <c r="Q228" s="554"/>
      <c r="R228" s="554"/>
      <c r="S228" s="554"/>
      <c r="T228" s="554"/>
      <c r="U228" s="554"/>
      <c r="V228" s="554"/>
      <c r="W228" s="554"/>
      <c r="X228" s="554"/>
      <c r="Y228" s="554"/>
      <c r="Z228" s="554"/>
      <c r="AA228" s="554"/>
      <c r="AB228" s="554"/>
      <c r="AC228" s="554"/>
      <c r="AD228" s="554"/>
      <c r="AE228" s="554"/>
      <c r="AF228" s="554"/>
      <c r="AG228" s="554"/>
      <c r="AH228" s="554"/>
      <c r="AI228" s="554"/>
      <c r="AJ228" s="554"/>
      <c r="AM228" s="554"/>
    </row>
    <row r="229" spans="8:39" s="552" customFormat="1" x14ac:dyDescent="0.35">
      <c r="H229" s="553"/>
      <c r="M229" s="554"/>
      <c r="N229" s="554"/>
      <c r="O229" s="554"/>
      <c r="P229" s="554"/>
      <c r="Q229" s="554"/>
      <c r="R229" s="554"/>
      <c r="S229" s="554"/>
      <c r="T229" s="554"/>
      <c r="U229" s="554"/>
      <c r="V229" s="554"/>
      <c r="W229" s="554"/>
      <c r="X229" s="554"/>
      <c r="Y229" s="554"/>
      <c r="Z229" s="554"/>
      <c r="AA229" s="554"/>
      <c r="AB229" s="554"/>
      <c r="AC229" s="554"/>
      <c r="AD229" s="554"/>
      <c r="AE229" s="554"/>
      <c r="AF229" s="554"/>
      <c r="AG229" s="554"/>
      <c r="AH229" s="554"/>
      <c r="AI229" s="554"/>
      <c r="AJ229" s="554"/>
      <c r="AM229" s="554"/>
    </row>
    <row r="230" spans="8:39" s="552" customFormat="1" x14ac:dyDescent="0.35">
      <c r="H230" s="553"/>
      <c r="M230" s="554"/>
      <c r="N230" s="554"/>
      <c r="O230" s="554"/>
      <c r="P230" s="554"/>
      <c r="Q230" s="554"/>
      <c r="R230" s="554"/>
      <c r="S230" s="554"/>
      <c r="T230" s="554"/>
      <c r="U230" s="554"/>
      <c r="V230" s="554"/>
      <c r="W230" s="554"/>
      <c r="X230" s="554"/>
      <c r="Y230" s="554"/>
      <c r="Z230" s="554"/>
      <c r="AA230" s="554"/>
      <c r="AB230" s="554"/>
      <c r="AC230" s="554"/>
      <c r="AD230" s="554"/>
      <c r="AE230" s="554"/>
      <c r="AF230" s="554"/>
      <c r="AG230" s="554"/>
      <c r="AH230" s="554"/>
      <c r="AI230" s="554"/>
      <c r="AJ230" s="554"/>
      <c r="AM230" s="554"/>
    </row>
    <row r="231" spans="8:39" s="552" customFormat="1" x14ac:dyDescent="0.35">
      <c r="H231" s="553"/>
      <c r="M231" s="554"/>
      <c r="N231" s="554"/>
      <c r="O231" s="554"/>
      <c r="P231" s="554"/>
      <c r="Q231" s="554"/>
      <c r="R231" s="554"/>
      <c r="S231" s="554"/>
      <c r="T231" s="554"/>
      <c r="U231" s="554"/>
      <c r="V231" s="554"/>
      <c r="W231" s="554"/>
      <c r="X231" s="554"/>
      <c r="Y231" s="554"/>
      <c r="Z231" s="554"/>
      <c r="AA231" s="554"/>
      <c r="AB231" s="554"/>
      <c r="AC231" s="554"/>
      <c r="AD231" s="554"/>
      <c r="AE231" s="554"/>
      <c r="AF231" s="554"/>
      <c r="AG231" s="554"/>
      <c r="AH231" s="554"/>
      <c r="AI231" s="554"/>
      <c r="AJ231" s="554"/>
      <c r="AM231" s="554"/>
    </row>
    <row r="232" spans="8:39" s="552" customFormat="1" x14ac:dyDescent="0.35">
      <c r="H232" s="553"/>
      <c r="M232" s="554"/>
      <c r="N232" s="554"/>
      <c r="O232" s="554"/>
      <c r="P232" s="554"/>
      <c r="Q232" s="554"/>
      <c r="R232" s="554"/>
      <c r="S232" s="554"/>
      <c r="T232" s="554"/>
      <c r="U232" s="554"/>
      <c r="V232" s="554"/>
      <c r="W232" s="554"/>
      <c r="X232" s="554"/>
      <c r="Y232" s="554"/>
      <c r="Z232" s="554"/>
      <c r="AA232" s="554"/>
      <c r="AB232" s="554"/>
      <c r="AC232" s="554"/>
      <c r="AD232" s="554"/>
      <c r="AE232" s="554"/>
      <c r="AF232" s="554"/>
      <c r="AG232" s="554"/>
      <c r="AH232" s="554"/>
      <c r="AI232" s="554"/>
      <c r="AJ232" s="554"/>
      <c r="AM232" s="554"/>
    </row>
    <row r="233" spans="8:39" s="552" customFormat="1" x14ac:dyDescent="0.35">
      <c r="H233" s="553"/>
      <c r="M233" s="554"/>
      <c r="N233" s="554"/>
      <c r="O233" s="554"/>
      <c r="P233" s="554"/>
      <c r="Q233" s="554"/>
      <c r="R233" s="554"/>
      <c r="S233" s="554"/>
      <c r="T233" s="554"/>
      <c r="U233" s="554"/>
      <c r="V233" s="554"/>
      <c r="W233" s="554"/>
      <c r="X233" s="554"/>
      <c r="Y233" s="554"/>
      <c r="Z233" s="554"/>
      <c r="AA233" s="554"/>
      <c r="AB233" s="554"/>
      <c r="AC233" s="554"/>
      <c r="AD233" s="554"/>
      <c r="AE233" s="554"/>
      <c r="AF233" s="554"/>
      <c r="AG233" s="554"/>
      <c r="AH233" s="554"/>
      <c r="AI233" s="554"/>
      <c r="AJ233" s="554"/>
      <c r="AM233" s="554"/>
    </row>
    <row r="234" spans="8:39" s="552" customFormat="1" x14ac:dyDescent="0.35">
      <c r="H234" s="553"/>
      <c r="M234" s="554"/>
      <c r="N234" s="554"/>
      <c r="O234" s="554"/>
      <c r="P234" s="554"/>
      <c r="Q234" s="554"/>
      <c r="R234" s="554"/>
      <c r="S234" s="554"/>
      <c r="T234" s="554"/>
      <c r="U234" s="554"/>
      <c r="V234" s="554"/>
      <c r="W234" s="554"/>
      <c r="X234" s="554"/>
      <c r="Y234" s="554"/>
      <c r="Z234" s="554"/>
      <c r="AA234" s="554"/>
      <c r="AB234" s="554"/>
      <c r="AC234" s="554"/>
      <c r="AD234" s="554"/>
      <c r="AE234" s="554"/>
      <c r="AF234" s="554"/>
      <c r="AG234" s="554"/>
      <c r="AH234" s="554"/>
      <c r="AI234" s="554"/>
      <c r="AJ234" s="554"/>
      <c r="AM234" s="554"/>
    </row>
    <row r="235" spans="8:39" s="552" customFormat="1" x14ac:dyDescent="0.35">
      <c r="H235" s="553"/>
      <c r="M235" s="554"/>
      <c r="N235" s="554"/>
      <c r="O235" s="554"/>
      <c r="P235" s="554"/>
      <c r="Q235" s="554"/>
      <c r="R235" s="554"/>
      <c r="S235" s="554"/>
      <c r="T235" s="554"/>
      <c r="U235" s="554"/>
      <c r="V235" s="554"/>
      <c r="W235" s="554"/>
      <c r="X235" s="554"/>
      <c r="Y235" s="554"/>
      <c r="Z235" s="554"/>
      <c r="AA235" s="554"/>
      <c r="AB235" s="554"/>
      <c r="AC235" s="554"/>
      <c r="AD235" s="554"/>
      <c r="AE235" s="554"/>
      <c r="AF235" s="554"/>
      <c r="AG235" s="554"/>
      <c r="AH235" s="554"/>
      <c r="AI235" s="554"/>
      <c r="AJ235" s="554"/>
      <c r="AM235" s="554"/>
    </row>
    <row r="236" spans="8:39" s="552" customFormat="1" x14ac:dyDescent="0.35">
      <c r="H236" s="553"/>
      <c r="M236" s="554"/>
      <c r="N236" s="554"/>
      <c r="O236" s="554"/>
      <c r="P236" s="554"/>
      <c r="Q236" s="554"/>
      <c r="R236" s="554"/>
      <c r="S236" s="554"/>
      <c r="T236" s="554"/>
      <c r="U236" s="554"/>
      <c r="V236" s="554"/>
      <c r="W236" s="554"/>
      <c r="X236" s="554"/>
      <c r="Y236" s="554"/>
      <c r="Z236" s="554"/>
      <c r="AA236" s="554"/>
      <c r="AB236" s="554"/>
      <c r="AC236" s="554"/>
      <c r="AD236" s="554"/>
      <c r="AE236" s="554"/>
      <c r="AF236" s="554"/>
      <c r="AG236" s="554"/>
      <c r="AH236" s="554"/>
      <c r="AI236" s="554"/>
      <c r="AJ236" s="554"/>
      <c r="AM236" s="554"/>
    </row>
    <row r="237" spans="8:39" s="552" customFormat="1" x14ac:dyDescent="0.35">
      <c r="H237" s="553"/>
      <c r="M237" s="554"/>
      <c r="N237" s="554"/>
      <c r="O237" s="554"/>
      <c r="P237" s="554"/>
      <c r="Q237" s="554"/>
      <c r="R237" s="554"/>
      <c r="S237" s="554"/>
      <c r="T237" s="554"/>
      <c r="U237" s="554"/>
      <c r="V237" s="554"/>
      <c r="W237" s="554"/>
      <c r="X237" s="554"/>
      <c r="Y237" s="554"/>
      <c r="Z237" s="554"/>
      <c r="AA237" s="554"/>
      <c r="AB237" s="554"/>
      <c r="AC237" s="554"/>
      <c r="AD237" s="554"/>
      <c r="AE237" s="554"/>
      <c r="AF237" s="554"/>
      <c r="AG237" s="554"/>
      <c r="AH237" s="554"/>
      <c r="AI237" s="554"/>
      <c r="AJ237" s="554"/>
      <c r="AM237" s="554"/>
    </row>
    <row r="238" spans="8:39" s="552" customFormat="1" x14ac:dyDescent="0.35">
      <c r="H238" s="553"/>
      <c r="M238" s="554"/>
      <c r="N238" s="554"/>
      <c r="O238" s="554"/>
      <c r="P238" s="554"/>
      <c r="Q238" s="554"/>
      <c r="R238" s="554"/>
      <c r="S238" s="554"/>
      <c r="T238" s="554"/>
      <c r="U238" s="554"/>
      <c r="V238" s="554"/>
      <c r="W238" s="554"/>
      <c r="X238" s="554"/>
      <c r="Y238" s="554"/>
      <c r="Z238" s="554"/>
      <c r="AA238" s="554"/>
      <c r="AB238" s="554"/>
      <c r="AC238" s="554"/>
      <c r="AD238" s="554"/>
      <c r="AE238" s="554"/>
      <c r="AF238" s="554"/>
      <c r="AG238" s="554"/>
      <c r="AH238" s="554"/>
      <c r="AI238" s="554"/>
      <c r="AJ238" s="554"/>
      <c r="AM238" s="554"/>
    </row>
    <row r="239" spans="8:39" s="552" customFormat="1" x14ac:dyDescent="0.35">
      <c r="H239" s="553"/>
      <c r="M239" s="554"/>
      <c r="N239" s="554"/>
      <c r="O239" s="554"/>
      <c r="P239" s="554"/>
      <c r="Q239" s="554"/>
      <c r="R239" s="554"/>
      <c r="S239" s="554"/>
      <c r="T239" s="554"/>
      <c r="U239" s="554"/>
      <c r="V239" s="554"/>
      <c r="W239" s="554"/>
      <c r="X239" s="554"/>
      <c r="Y239" s="554"/>
      <c r="Z239" s="554"/>
      <c r="AA239" s="554"/>
      <c r="AB239" s="554"/>
      <c r="AC239" s="554"/>
      <c r="AD239" s="554"/>
      <c r="AE239" s="554"/>
      <c r="AF239" s="554"/>
      <c r="AG239" s="554"/>
      <c r="AH239" s="554"/>
      <c r="AI239" s="554"/>
      <c r="AJ239" s="554"/>
      <c r="AM239" s="554"/>
    </row>
    <row r="240" spans="8:39" s="552" customFormat="1" x14ac:dyDescent="0.35">
      <c r="H240" s="553"/>
      <c r="M240" s="554"/>
      <c r="N240" s="554"/>
      <c r="O240" s="554"/>
      <c r="P240" s="554"/>
      <c r="Q240" s="554"/>
      <c r="R240" s="554"/>
      <c r="S240" s="554"/>
      <c r="T240" s="554"/>
      <c r="U240" s="554"/>
      <c r="V240" s="554"/>
      <c r="W240" s="554"/>
      <c r="X240" s="554"/>
      <c r="Y240" s="554"/>
      <c r="Z240" s="554"/>
      <c r="AA240" s="554"/>
      <c r="AB240" s="554"/>
      <c r="AC240" s="554"/>
      <c r="AD240" s="554"/>
      <c r="AE240" s="554"/>
      <c r="AF240" s="554"/>
      <c r="AG240" s="554"/>
      <c r="AH240" s="554"/>
      <c r="AI240" s="554"/>
      <c r="AJ240" s="554"/>
      <c r="AM240" s="554"/>
    </row>
    <row r="241" spans="8:39" s="552" customFormat="1" x14ac:dyDescent="0.35">
      <c r="H241" s="553"/>
      <c r="M241" s="554"/>
      <c r="N241" s="554"/>
      <c r="O241" s="554"/>
      <c r="P241" s="554"/>
      <c r="Q241" s="554"/>
      <c r="R241" s="554"/>
      <c r="S241" s="554"/>
      <c r="T241" s="554"/>
      <c r="U241" s="554"/>
      <c r="V241" s="554"/>
      <c r="W241" s="554"/>
      <c r="X241" s="554"/>
      <c r="Y241" s="554"/>
      <c r="Z241" s="554"/>
      <c r="AA241" s="554"/>
      <c r="AB241" s="554"/>
      <c r="AC241" s="554"/>
      <c r="AD241" s="554"/>
      <c r="AE241" s="554"/>
      <c r="AF241" s="554"/>
      <c r="AG241" s="554"/>
      <c r="AH241" s="554"/>
      <c r="AI241" s="554"/>
      <c r="AJ241" s="554"/>
      <c r="AM241" s="554"/>
    </row>
    <row r="242" spans="8:39" s="552" customFormat="1" x14ac:dyDescent="0.35">
      <c r="H242" s="553"/>
      <c r="M242" s="554"/>
      <c r="N242" s="554"/>
      <c r="O242" s="554"/>
      <c r="P242" s="554"/>
      <c r="Q242" s="554"/>
      <c r="R242" s="554"/>
      <c r="S242" s="554"/>
      <c r="T242" s="554"/>
      <c r="U242" s="554"/>
      <c r="V242" s="554"/>
      <c r="W242" s="554"/>
      <c r="X242" s="554"/>
      <c r="Y242" s="554"/>
      <c r="Z242" s="554"/>
      <c r="AA242" s="554"/>
      <c r="AB242" s="554"/>
      <c r="AC242" s="554"/>
      <c r="AD242" s="554"/>
      <c r="AE242" s="554"/>
      <c r="AF242" s="554"/>
      <c r="AG242" s="554"/>
      <c r="AH242" s="554"/>
      <c r="AI242" s="554"/>
      <c r="AJ242" s="554"/>
      <c r="AM242" s="554"/>
    </row>
    <row r="243" spans="8:39" s="552" customFormat="1" x14ac:dyDescent="0.35">
      <c r="H243" s="553"/>
      <c r="M243" s="554"/>
      <c r="N243" s="554"/>
      <c r="O243" s="554"/>
      <c r="P243" s="554"/>
      <c r="Q243" s="554"/>
      <c r="R243" s="554"/>
      <c r="S243" s="554"/>
      <c r="T243" s="554"/>
      <c r="U243" s="554"/>
      <c r="V243" s="554"/>
      <c r="W243" s="554"/>
      <c r="X243" s="554"/>
      <c r="Y243" s="554"/>
      <c r="Z243" s="554"/>
      <c r="AA243" s="554"/>
      <c r="AB243" s="554"/>
      <c r="AC243" s="554"/>
      <c r="AD243" s="554"/>
      <c r="AE243" s="554"/>
      <c r="AF243" s="554"/>
      <c r="AG243" s="554"/>
      <c r="AH243" s="554"/>
      <c r="AI243" s="554"/>
      <c r="AJ243" s="554"/>
      <c r="AM243" s="554"/>
    </row>
    <row r="244" spans="8:39" s="552" customFormat="1" x14ac:dyDescent="0.35">
      <c r="H244" s="553"/>
      <c r="M244" s="554"/>
      <c r="N244" s="554"/>
      <c r="O244" s="554"/>
      <c r="P244" s="554"/>
      <c r="Q244" s="554"/>
      <c r="R244" s="554"/>
      <c r="S244" s="554"/>
      <c r="T244" s="554"/>
      <c r="U244" s="554"/>
      <c r="V244" s="554"/>
      <c r="W244" s="554"/>
      <c r="X244" s="554"/>
      <c r="Y244" s="554"/>
      <c r="Z244" s="554"/>
      <c r="AA244" s="554"/>
      <c r="AB244" s="554"/>
      <c r="AC244" s="554"/>
      <c r="AD244" s="554"/>
      <c r="AE244" s="554"/>
      <c r="AF244" s="554"/>
      <c r="AG244" s="554"/>
      <c r="AH244" s="554"/>
      <c r="AI244" s="554"/>
      <c r="AJ244" s="554"/>
      <c r="AM244" s="554"/>
    </row>
    <row r="245" spans="8:39" s="552" customFormat="1" x14ac:dyDescent="0.35">
      <c r="H245" s="553"/>
      <c r="M245" s="554"/>
      <c r="N245" s="554"/>
      <c r="O245" s="554"/>
      <c r="P245" s="554"/>
      <c r="Q245" s="554"/>
      <c r="R245" s="554"/>
      <c r="S245" s="554"/>
      <c r="T245" s="554"/>
      <c r="U245" s="554"/>
      <c r="V245" s="554"/>
      <c r="W245" s="554"/>
      <c r="X245" s="554"/>
      <c r="Y245" s="554"/>
      <c r="Z245" s="554"/>
      <c r="AA245" s="554"/>
      <c r="AB245" s="554"/>
      <c r="AC245" s="554"/>
      <c r="AD245" s="554"/>
      <c r="AE245" s="554"/>
      <c r="AF245" s="554"/>
      <c r="AG245" s="554"/>
      <c r="AH245" s="554"/>
      <c r="AI245" s="554"/>
      <c r="AJ245" s="554"/>
      <c r="AM245" s="554"/>
    </row>
    <row r="246" spans="8:39" s="552" customFormat="1" x14ac:dyDescent="0.35">
      <c r="H246" s="553"/>
      <c r="M246" s="554"/>
      <c r="N246" s="554"/>
      <c r="O246" s="554"/>
      <c r="P246" s="554"/>
      <c r="Q246" s="554"/>
      <c r="R246" s="554"/>
      <c r="S246" s="554"/>
      <c r="T246" s="554"/>
      <c r="U246" s="554"/>
      <c r="V246" s="554"/>
      <c r="W246" s="554"/>
      <c r="X246" s="554"/>
      <c r="Y246" s="554"/>
      <c r="Z246" s="554"/>
      <c r="AA246" s="554"/>
      <c r="AB246" s="554"/>
      <c r="AC246" s="554"/>
      <c r="AD246" s="554"/>
      <c r="AE246" s="554"/>
      <c r="AF246" s="554"/>
      <c r="AG246" s="554"/>
      <c r="AH246" s="554"/>
      <c r="AI246" s="554"/>
      <c r="AJ246" s="554"/>
      <c r="AM246" s="554"/>
    </row>
    <row r="247" spans="8:39" s="552" customFormat="1" x14ac:dyDescent="0.35">
      <c r="H247" s="553"/>
      <c r="M247" s="554"/>
      <c r="N247" s="554"/>
      <c r="O247" s="554"/>
      <c r="P247" s="554"/>
      <c r="Q247" s="554"/>
      <c r="R247" s="554"/>
      <c r="S247" s="554"/>
      <c r="T247" s="554"/>
      <c r="U247" s="554"/>
      <c r="V247" s="554"/>
      <c r="W247" s="554"/>
      <c r="X247" s="554"/>
      <c r="Y247" s="554"/>
      <c r="Z247" s="554"/>
      <c r="AA247" s="554"/>
      <c r="AB247" s="554"/>
      <c r="AC247" s="554"/>
      <c r="AD247" s="554"/>
      <c r="AE247" s="554"/>
      <c r="AF247" s="554"/>
      <c r="AG247" s="554"/>
      <c r="AH247" s="554"/>
      <c r="AI247" s="554"/>
      <c r="AJ247" s="554"/>
      <c r="AM247" s="554"/>
    </row>
    <row r="248" spans="8:39" s="552" customFormat="1" x14ac:dyDescent="0.35">
      <c r="H248" s="553"/>
      <c r="M248" s="554"/>
      <c r="N248" s="554"/>
      <c r="O248" s="554"/>
      <c r="P248" s="554"/>
      <c r="Q248" s="554"/>
      <c r="R248" s="554"/>
      <c r="S248" s="554"/>
      <c r="T248" s="554"/>
      <c r="U248" s="554"/>
      <c r="V248" s="554"/>
      <c r="W248" s="554"/>
      <c r="X248" s="554"/>
      <c r="Y248" s="554"/>
      <c r="Z248" s="554"/>
      <c r="AA248" s="554"/>
      <c r="AB248" s="554"/>
      <c r="AC248" s="554"/>
      <c r="AD248" s="554"/>
      <c r="AE248" s="554"/>
      <c r="AF248" s="554"/>
      <c r="AG248" s="554"/>
      <c r="AH248" s="554"/>
      <c r="AI248" s="554"/>
      <c r="AJ248" s="554"/>
      <c r="AM248" s="554"/>
    </row>
    <row r="249" spans="8:39" s="552" customFormat="1" x14ac:dyDescent="0.35">
      <c r="H249" s="553"/>
      <c r="M249" s="554"/>
      <c r="N249" s="554"/>
      <c r="O249" s="554"/>
      <c r="P249" s="554"/>
      <c r="Q249" s="554"/>
      <c r="R249" s="554"/>
      <c r="S249" s="554"/>
      <c r="T249" s="554"/>
      <c r="U249" s="554"/>
      <c r="V249" s="554"/>
      <c r="W249" s="554"/>
      <c r="X249" s="554"/>
      <c r="Y249" s="554"/>
      <c r="Z249" s="554"/>
      <c r="AA249" s="554"/>
      <c r="AB249" s="554"/>
      <c r="AC249" s="554"/>
      <c r="AD249" s="554"/>
      <c r="AE249" s="554"/>
      <c r="AF249" s="554"/>
      <c r="AG249" s="554"/>
      <c r="AH249" s="554"/>
      <c r="AI249" s="554"/>
      <c r="AJ249" s="554"/>
      <c r="AM249" s="554"/>
    </row>
  </sheetData>
  <mergeCells count="2">
    <mergeCell ref="AE4:AH4"/>
    <mergeCell ref="AE3:AJ3"/>
  </mergeCells>
  <phoneticPr fontId="50" type="noConversion"/>
  <pageMargins left="0.70866141732283472" right="0.70866141732283472" top="0.74803149606299213" bottom="0.74803149606299213" header="0.31496062992125984" footer="0.31496062992125984"/>
  <pageSetup paperSize="9" scale="44" fitToWidth="2" fitToHeight="2" orientation="landscape" r:id="rId1"/>
  <headerFooter>
    <oddHeader xml:space="preserve">&amp;CBarwick and Stoford Expense cashbook to March 31st 2023
</oddHeader>
    <oddFooter>&amp;L&amp;F&amp;C&amp;P /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F4625-ABE2-4C1B-9424-A9AE5ECB65DE}">
  <sheetPr>
    <pageSetUpPr fitToPage="1"/>
  </sheetPr>
  <dimension ref="A1:S87"/>
  <sheetViews>
    <sheetView topLeftCell="A3" workbookViewId="0">
      <selection activeCell="I7" sqref="I7"/>
    </sheetView>
  </sheetViews>
  <sheetFormatPr defaultRowHeight="14.5" x14ac:dyDescent="0.35"/>
  <cols>
    <col min="1" max="1" width="11.81640625" customWidth="1"/>
    <col min="2" max="2" width="2.26953125" customWidth="1"/>
    <col min="3" max="3" width="10.7265625" customWidth="1"/>
    <col min="4" max="4" width="2.1796875" customWidth="1"/>
    <col min="5" max="5" width="24.1796875" customWidth="1"/>
    <col min="6" max="6" width="2.1796875" customWidth="1"/>
    <col min="7" max="7" width="20.7265625" customWidth="1"/>
    <col min="8" max="8" width="16.81640625" customWidth="1"/>
    <col min="9" max="9" width="12.26953125" style="41" bestFit="1" customWidth="1"/>
    <col min="10" max="10" width="12.26953125" bestFit="1" customWidth="1"/>
    <col min="11" max="11" width="15.26953125" bestFit="1" customWidth="1"/>
    <col min="12" max="12" width="11" customWidth="1"/>
    <col min="13" max="13" width="12.26953125" style="41" bestFit="1" customWidth="1"/>
    <col min="14" max="14" width="13.7265625" style="41" customWidth="1"/>
    <col min="15" max="15" width="12.26953125" bestFit="1" customWidth="1"/>
    <col min="16" max="16" width="11.26953125" customWidth="1"/>
    <col min="17" max="17" width="12.1796875" customWidth="1"/>
    <col min="18" max="18" width="10.26953125" bestFit="1" customWidth="1"/>
    <col min="19" max="19" width="16.54296875" customWidth="1"/>
  </cols>
  <sheetData>
    <row r="1" spans="1:18" ht="15.5" x14ac:dyDescent="0.35">
      <c r="A1" s="34" t="s">
        <v>785</v>
      </c>
    </row>
    <row r="2" spans="1:18" ht="15.5" x14ac:dyDescent="0.35">
      <c r="A2" s="34"/>
      <c r="H2" s="65" t="s">
        <v>783</v>
      </c>
      <c r="I2" s="78">
        <v>43500.39</v>
      </c>
    </row>
    <row r="4" spans="1:18" ht="26.5" x14ac:dyDescent="0.35">
      <c r="A4" s="40" t="s">
        <v>53</v>
      </c>
      <c r="B4" s="40"/>
      <c r="C4" s="40" t="s">
        <v>76</v>
      </c>
      <c r="D4" s="40"/>
      <c r="E4" s="40" t="s">
        <v>77</v>
      </c>
      <c r="F4" s="40"/>
      <c r="G4" s="40" t="s">
        <v>78</v>
      </c>
      <c r="H4" s="42" t="s">
        <v>79</v>
      </c>
      <c r="I4" s="43" t="s">
        <v>80</v>
      </c>
      <c r="J4" s="42" t="s">
        <v>81</v>
      </c>
      <c r="K4" t="s">
        <v>58</v>
      </c>
      <c r="L4" s="44" t="s">
        <v>82</v>
      </c>
      <c r="M4" s="45" t="s">
        <v>883</v>
      </c>
      <c r="N4" s="45" t="s">
        <v>84</v>
      </c>
      <c r="O4" s="1241" t="s">
        <v>886</v>
      </c>
      <c r="P4" s="44" t="s">
        <v>85</v>
      </c>
      <c r="Q4" s="1241" t="s">
        <v>967</v>
      </c>
      <c r="R4" s="44" t="s">
        <v>111</v>
      </c>
    </row>
    <row r="5" spans="1:18" x14ac:dyDescent="0.35">
      <c r="A5" s="46"/>
      <c r="B5" s="40"/>
      <c r="C5" s="40"/>
      <c r="D5" s="40"/>
      <c r="E5" s="40"/>
      <c r="F5" s="40"/>
      <c r="G5" s="40"/>
      <c r="H5" s="42"/>
      <c r="I5" s="43"/>
      <c r="J5" s="42"/>
      <c r="L5" s="44"/>
      <c r="M5" s="45"/>
      <c r="N5" s="45"/>
      <c r="O5" s="44"/>
      <c r="P5" s="44"/>
      <c r="Q5" s="44"/>
      <c r="R5" s="44"/>
    </row>
    <row r="6" spans="1:18" x14ac:dyDescent="0.35">
      <c r="A6" s="47">
        <v>45411</v>
      </c>
      <c r="B6" s="35"/>
      <c r="C6" s="35" t="s">
        <v>828</v>
      </c>
      <c r="D6" s="35"/>
      <c r="E6" s="35" t="s">
        <v>829</v>
      </c>
      <c r="F6" s="35"/>
      <c r="G6" s="35" t="s">
        <v>830</v>
      </c>
      <c r="H6" s="257">
        <v>62288.75</v>
      </c>
      <c r="I6" s="1231">
        <v>62288.75</v>
      </c>
      <c r="J6" s="257">
        <f>I2+I6</f>
        <v>105789.14</v>
      </c>
      <c r="K6" s="80"/>
      <c r="L6" s="257">
        <v>62288.75</v>
      </c>
      <c r="M6" s="257"/>
      <c r="N6" s="257"/>
      <c r="O6" s="257"/>
      <c r="P6" s="257"/>
      <c r="Q6" s="257"/>
      <c r="R6" s="257"/>
    </row>
    <row r="7" spans="1:18" x14ac:dyDescent="0.35">
      <c r="A7" s="39">
        <v>45411</v>
      </c>
      <c r="B7" s="36"/>
      <c r="C7" s="36" t="s">
        <v>828</v>
      </c>
      <c r="D7" s="36"/>
      <c r="E7" s="36" t="s">
        <v>796</v>
      </c>
      <c r="F7" s="36"/>
      <c r="G7" s="36" t="s">
        <v>831</v>
      </c>
      <c r="H7" s="62">
        <v>3667.51</v>
      </c>
      <c r="I7" s="1232">
        <v>3667.51</v>
      </c>
      <c r="J7" s="131">
        <f t="shared" ref="J7:J15" si="0">J6+I7</f>
        <v>109456.65</v>
      </c>
      <c r="K7" s="131">
        <v>3667.51</v>
      </c>
      <c r="L7" s="131"/>
      <c r="M7" s="131"/>
      <c r="N7" s="131"/>
      <c r="O7" s="131"/>
      <c r="P7" s="131"/>
      <c r="Q7" s="80"/>
      <c r="R7" s="80"/>
    </row>
    <row r="8" spans="1:18" x14ac:dyDescent="0.35">
      <c r="A8" s="39">
        <v>45463</v>
      </c>
      <c r="B8" s="36"/>
      <c r="C8" s="36" t="s">
        <v>880</v>
      </c>
      <c r="D8" s="36"/>
      <c r="E8" s="36" t="s">
        <v>881</v>
      </c>
      <c r="F8" s="36"/>
      <c r="G8" s="36" t="s">
        <v>882</v>
      </c>
      <c r="H8" s="62">
        <v>30.87</v>
      </c>
      <c r="I8" s="1232">
        <v>30.87</v>
      </c>
      <c r="J8" s="131">
        <f t="shared" si="0"/>
        <v>109487.51999999999</v>
      </c>
      <c r="K8" s="131"/>
      <c r="L8" s="131"/>
      <c r="M8" s="131">
        <v>30.87</v>
      </c>
      <c r="N8" s="131"/>
      <c r="O8" s="131"/>
      <c r="P8" s="131"/>
      <c r="Q8" s="62"/>
      <c r="R8" s="62"/>
    </row>
    <row r="9" spans="1:18" x14ac:dyDescent="0.35">
      <c r="A9" s="47">
        <v>45464</v>
      </c>
      <c r="B9" s="35"/>
      <c r="C9" s="36" t="s">
        <v>828</v>
      </c>
      <c r="D9" s="35"/>
      <c r="E9" s="35" t="s">
        <v>884</v>
      </c>
      <c r="F9" s="35"/>
      <c r="G9" s="35" t="s">
        <v>885</v>
      </c>
      <c r="H9" s="131">
        <v>5000</v>
      </c>
      <c r="I9" s="1242">
        <v>5000</v>
      </c>
      <c r="J9" s="131">
        <f t="shared" si="0"/>
        <v>114487.51999999999</v>
      </c>
      <c r="K9" s="131"/>
      <c r="L9" s="131"/>
      <c r="M9" s="131"/>
      <c r="N9" s="131">
        <v>5000</v>
      </c>
      <c r="O9" s="131"/>
      <c r="P9" s="131"/>
      <c r="Q9" s="62"/>
      <c r="R9" s="62"/>
    </row>
    <row r="10" spans="1:18" x14ac:dyDescent="0.35">
      <c r="A10" s="47">
        <v>45470</v>
      </c>
      <c r="B10" s="35"/>
      <c r="C10" s="36" t="s">
        <v>828</v>
      </c>
      <c r="D10" s="35"/>
      <c r="E10" s="35" t="s">
        <v>887</v>
      </c>
      <c r="F10" s="35"/>
      <c r="G10" s="35" t="s">
        <v>888</v>
      </c>
      <c r="H10" s="131">
        <v>350000</v>
      </c>
      <c r="I10" s="1242">
        <v>350000</v>
      </c>
      <c r="J10" s="131">
        <f t="shared" si="0"/>
        <v>464487.52</v>
      </c>
      <c r="K10" s="131"/>
      <c r="L10" s="131"/>
      <c r="M10" s="131"/>
      <c r="N10" s="131"/>
      <c r="O10" s="131">
        <v>350000</v>
      </c>
      <c r="P10" s="131"/>
      <c r="Q10" s="62"/>
      <c r="R10" s="62"/>
    </row>
    <row r="11" spans="1:18" x14ac:dyDescent="0.35">
      <c r="A11" s="47">
        <v>45532</v>
      </c>
      <c r="B11" s="35"/>
      <c r="C11" s="36" t="s">
        <v>828</v>
      </c>
      <c r="D11" s="35"/>
      <c r="E11" s="35" t="s">
        <v>965</v>
      </c>
      <c r="F11" s="35"/>
      <c r="G11" s="35" t="s">
        <v>966</v>
      </c>
      <c r="H11" s="131">
        <v>450</v>
      </c>
      <c r="I11" s="1242">
        <v>450</v>
      </c>
      <c r="J11" s="131">
        <f t="shared" si="0"/>
        <v>464937.52</v>
      </c>
      <c r="K11" s="62"/>
      <c r="L11" s="131"/>
      <c r="M11" s="131"/>
      <c r="N11" s="131"/>
      <c r="O11" s="131"/>
      <c r="P11" s="131"/>
      <c r="Q11" s="62">
        <v>450</v>
      </c>
      <c r="R11" s="62"/>
    </row>
    <row r="12" spans="1:18" x14ac:dyDescent="0.35">
      <c r="A12" s="47">
        <v>45618</v>
      </c>
      <c r="B12" s="35"/>
      <c r="C12" s="36" t="s">
        <v>828</v>
      </c>
      <c r="D12" s="35"/>
      <c r="E12" s="35" t="s">
        <v>1051</v>
      </c>
      <c r="F12" s="35"/>
      <c r="G12" s="35" t="s">
        <v>1052</v>
      </c>
      <c r="H12" s="131">
        <v>1250</v>
      </c>
      <c r="I12" s="1242">
        <v>1250</v>
      </c>
      <c r="J12" s="131">
        <f t="shared" si="0"/>
        <v>466187.52000000002</v>
      </c>
      <c r="K12" s="62"/>
      <c r="L12" s="131"/>
      <c r="M12" s="131"/>
      <c r="N12" s="131"/>
      <c r="O12" s="131"/>
      <c r="P12" s="131"/>
      <c r="Q12" s="62"/>
      <c r="R12" s="62">
        <v>1250</v>
      </c>
    </row>
    <row r="13" spans="1:18" x14ac:dyDescent="0.35">
      <c r="A13" s="47">
        <v>45733</v>
      </c>
      <c r="B13" s="35"/>
      <c r="C13" s="36" t="s">
        <v>828</v>
      </c>
      <c r="D13" s="35"/>
      <c r="E13" s="35" t="s">
        <v>1136</v>
      </c>
      <c r="F13" s="35"/>
      <c r="G13" s="35" t="s">
        <v>1137</v>
      </c>
      <c r="H13" s="131">
        <v>400</v>
      </c>
      <c r="I13" s="131">
        <v>400</v>
      </c>
      <c r="J13" s="131">
        <f t="shared" si="0"/>
        <v>466587.52</v>
      </c>
      <c r="K13" s="62"/>
      <c r="L13" s="131"/>
      <c r="M13" s="131"/>
      <c r="N13" s="131"/>
      <c r="O13" s="131"/>
      <c r="P13" s="131"/>
      <c r="Q13" s="62"/>
      <c r="R13" s="62">
        <v>400</v>
      </c>
    </row>
    <row r="14" spans="1:18" x14ac:dyDescent="0.35">
      <c r="A14" s="47"/>
      <c r="B14" s="35"/>
      <c r="C14" s="36"/>
      <c r="D14" s="35"/>
      <c r="E14" s="35"/>
      <c r="F14" s="35"/>
      <c r="G14" s="35"/>
      <c r="H14" s="131"/>
      <c r="I14" s="131"/>
      <c r="J14" s="131">
        <f t="shared" si="0"/>
        <v>466587.52</v>
      </c>
      <c r="K14" s="62"/>
      <c r="L14" s="131"/>
      <c r="M14" s="131"/>
      <c r="N14" s="131"/>
      <c r="O14" s="131"/>
      <c r="P14" s="131"/>
      <c r="Q14" s="62"/>
      <c r="R14" s="62"/>
    </row>
    <row r="15" spans="1:18" x14ac:dyDescent="0.35">
      <c r="A15" s="39"/>
      <c r="B15" s="36"/>
      <c r="C15" s="36"/>
      <c r="D15" s="36"/>
      <c r="E15" s="35"/>
      <c r="F15" s="36"/>
      <c r="G15" s="35"/>
      <c r="H15" s="131"/>
      <c r="I15" s="62"/>
      <c r="J15" s="131">
        <f t="shared" si="0"/>
        <v>466587.52</v>
      </c>
      <c r="K15" s="62"/>
      <c r="L15" s="131"/>
      <c r="M15" s="62"/>
      <c r="N15" s="131"/>
      <c r="O15" s="131"/>
      <c r="P15" s="131"/>
      <c r="Q15" s="62"/>
      <c r="R15" s="62"/>
    </row>
    <row r="16" spans="1:18" ht="15" thickBot="1" x14ac:dyDescent="0.4">
      <c r="A16" s="39"/>
      <c r="B16" s="36"/>
      <c r="C16" s="35"/>
      <c r="D16" s="36"/>
      <c r="E16" s="35"/>
      <c r="F16" s="36"/>
      <c r="G16" s="35"/>
      <c r="H16" s="62"/>
      <c r="I16" s="132">
        <f>SUM(I6:I15)</f>
        <v>423087.13</v>
      </c>
      <c r="J16" s="132"/>
      <c r="K16" s="132">
        <f t="shared" ref="K16:R16" si="1">SUM(K6:K15)</f>
        <v>3667.51</v>
      </c>
      <c r="L16" s="132">
        <f t="shared" si="1"/>
        <v>62288.75</v>
      </c>
      <c r="M16" s="132">
        <f t="shared" si="1"/>
        <v>30.87</v>
      </c>
      <c r="N16" s="132">
        <f t="shared" si="1"/>
        <v>5000</v>
      </c>
      <c r="O16" s="132">
        <f t="shared" si="1"/>
        <v>350000</v>
      </c>
      <c r="P16" s="132">
        <f t="shared" si="1"/>
        <v>0</v>
      </c>
      <c r="Q16" s="132">
        <f t="shared" si="1"/>
        <v>450</v>
      </c>
      <c r="R16" s="132">
        <f t="shared" si="1"/>
        <v>1650</v>
      </c>
    </row>
    <row r="17" spans="1:19" ht="15" thickTop="1" x14ac:dyDescent="0.35">
      <c r="A17" s="50"/>
      <c r="C17" s="35"/>
      <c r="E17" s="35"/>
      <c r="G17" s="35"/>
      <c r="I17" s="48"/>
      <c r="J17" s="35"/>
      <c r="K17" s="35"/>
      <c r="L17" s="49"/>
      <c r="M17" s="48"/>
      <c r="N17" s="49"/>
      <c r="O17" s="49"/>
      <c r="P17" s="49"/>
      <c r="Q17" s="51"/>
      <c r="R17" s="51"/>
    </row>
    <row r="18" spans="1:19" ht="15" thickBot="1" x14ac:dyDescent="0.4">
      <c r="A18" s="50"/>
      <c r="C18" s="35"/>
      <c r="E18" s="35"/>
      <c r="G18" s="35" t="s">
        <v>86</v>
      </c>
      <c r="I18" s="84">
        <f>I16+I35</f>
        <v>428032.73</v>
      </c>
      <c r="J18" s="35"/>
      <c r="K18" s="35" t="s">
        <v>72</v>
      </c>
      <c r="L18" s="49">
        <f>SUM(K16:R16)</f>
        <v>423087.13</v>
      </c>
      <c r="M18" s="48"/>
      <c r="N18" s="49"/>
      <c r="O18" s="49"/>
      <c r="P18" s="49"/>
      <c r="Q18" s="51"/>
      <c r="R18" s="51" t="s">
        <v>72</v>
      </c>
      <c r="S18" s="41">
        <f>SUM(K16:R16)</f>
        <v>423087.13</v>
      </c>
    </row>
    <row r="19" spans="1:19" ht="15" thickTop="1" x14ac:dyDescent="0.35">
      <c r="A19" s="50"/>
      <c r="C19" s="35"/>
      <c r="E19" s="35"/>
      <c r="G19" s="35"/>
      <c r="I19" s="48"/>
      <c r="J19" s="35"/>
      <c r="K19" s="35"/>
      <c r="L19" s="49"/>
      <c r="M19" s="48"/>
      <c r="O19" s="1186" t="s">
        <v>768</v>
      </c>
      <c r="P19" s="1187" t="s">
        <v>82</v>
      </c>
      <c r="Q19" s="1229">
        <f>L16</f>
        <v>62288.75</v>
      </c>
      <c r="R19" s="51"/>
    </row>
    <row r="20" spans="1:19" x14ac:dyDescent="0.35">
      <c r="O20" s="1188"/>
      <c r="P20" s="1188" t="s">
        <v>58</v>
      </c>
      <c r="Q20" s="80">
        <f>K16</f>
        <v>3667.51</v>
      </c>
      <c r="R20" s="51"/>
    </row>
    <row r="21" spans="1:19" x14ac:dyDescent="0.35">
      <c r="C21" t="s">
        <v>87</v>
      </c>
      <c r="O21" s="1188"/>
      <c r="P21" s="1188" t="s">
        <v>769</v>
      </c>
      <c r="Q21" s="80">
        <f>R16</f>
        <v>1650</v>
      </c>
      <c r="R21" s="51"/>
    </row>
    <row r="22" spans="1:19" x14ac:dyDescent="0.35">
      <c r="C22" s="47"/>
      <c r="D22" s="35"/>
      <c r="E22" s="53" t="s">
        <v>53</v>
      </c>
      <c r="F22" s="53"/>
      <c r="G22" s="53" t="s">
        <v>88</v>
      </c>
      <c r="H22" s="53"/>
      <c r="I22" s="54" t="s">
        <v>89</v>
      </c>
      <c r="J22" s="53"/>
      <c r="K22" s="53" t="s">
        <v>1138</v>
      </c>
      <c r="M22" s="409">
        <f>J15</f>
        <v>466587.52</v>
      </c>
      <c r="O22" s="1186"/>
      <c r="P22" s="1187" t="s">
        <v>770</v>
      </c>
      <c r="Q22" s="131">
        <f>SUM('Unity Trust Bank'!G9:G15)</f>
        <v>1026.17</v>
      </c>
      <c r="R22" s="51"/>
      <c r="S22" s="51"/>
    </row>
    <row r="23" spans="1:19" x14ac:dyDescent="0.35">
      <c r="C23" s="50"/>
      <c r="E23" s="52">
        <v>45412</v>
      </c>
      <c r="F23" s="2"/>
      <c r="G23" s="53" t="s">
        <v>225</v>
      </c>
      <c r="H23" s="2"/>
      <c r="I23" s="1243">
        <v>71.569999999999993</v>
      </c>
      <c r="J23" s="35"/>
      <c r="K23" t="s">
        <v>1139</v>
      </c>
      <c r="M23" s="41">
        <f>'Unity Trust Bank'!J20</f>
        <v>68076.360000000015</v>
      </c>
      <c r="O23" s="1186"/>
      <c r="P23" s="1188" t="s">
        <v>772</v>
      </c>
      <c r="Q23" s="80">
        <f>M24</f>
        <v>4945.6000000000004</v>
      </c>
      <c r="R23" s="51"/>
      <c r="S23" s="51"/>
    </row>
    <row r="24" spans="1:19" x14ac:dyDescent="0.35">
      <c r="C24" s="47"/>
      <c r="D24" s="35"/>
      <c r="E24" s="55">
        <v>45443</v>
      </c>
      <c r="F24" s="53"/>
      <c r="G24" s="53" t="s">
        <v>225</v>
      </c>
      <c r="H24" s="53"/>
      <c r="I24" s="1243">
        <v>132.34</v>
      </c>
      <c r="J24" s="35"/>
      <c r="K24" t="s">
        <v>226</v>
      </c>
      <c r="M24" s="285">
        <f>I35</f>
        <v>4945.6000000000004</v>
      </c>
      <c r="O24" s="1186"/>
      <c r="P24" s="1186" t="s">
        <v>771</v>
      </c>
      <c r="Q24" s="1229">
        <f>SUM(Q20:Q23)</f>
        <v>11289.28</v>
      </c>
      <c r="R24" s="51"/>
      <c r="S24" s="51"/>
    </row>
    <row r="25" spans="1:19" x14ac:dyDescent="0.35">
      <c r="C25" s="47"/>
      <c r="D25" s="35"/>
      <c r="E25" s="55">
        <v>45471</v>
      </c>
      <c r="F25" s="2"/>
      <c r="G25" s="53" t="s">
        <v>225</v>
      </c>
      <c r="H25" s="2"/>
      <c r="I25" s="1243">
        <v>130.81</v>
      </c>
      <c r="M25" s="286">
        <f>SUM(M22:M24)</f>
        <v>539609.48</v>
      </c>
      <c r="P25" s="35"/>
      <c r="R25" s="51"/>
    </row>
    <row r="26" spans="1:19" x14ac:dyDescent="0.35">
      <c r="C26" s="47"/>
      <c r="D26" s="35"/>
      <c r="E26" s="55">
        <v>45504</v>
      </c>
      <c r="F26" s="53"/>
      <c r="G26" s="53" t="s">
        <v>225</v>
      </c>
      <c r="H26" s="56"/>
      <c r="I26" s="1243">
        <v>593.41</v>
      </c>
      <c r="J26" s="35"/>
      <c r="N26" s="48"/>
      <c r="O26" s="35"/>
      <c r="P26" s="35"/>
      <c r="R26" s="51"/>
      <c r="S26" s="51"/>
    </row>
    <row r="27" spans="1:19" x14ac:dyDescent="0.35">
      <c r="C27" s="47"/>
      <c r="D27" s="35"/>
      <c r="E27" s="55">
        <v>45534</v>
      </c>
      <c r="F27" s="53"/>
      <c r="G27" s="53" t="s">
        <v>225</v>
      </c>
      <c r="H27" s="53"/>
      <c r="I27" s="1243">
        <v>538.79</v>
      </c>
      <c r="J27" s="49"/>
      <c r="N27" s="49"/>
      <c r="O27" s="35"/>
      <c r="P27" s="35"/>
      <c r="R27" s="51"/>
    </row>
    <row r="28" spans="1:19" x14ac:dyDescent="0.35">
      <c r="C28" s="50"/>
      <c r="E28" s="52">
        <v>45565</v>
      </c>
      <c r="F28" s="2"/>
      <c r="G28" s="53" t="s">
        <v>225</v>
      </c>
      <c r="H28" s="2"/>
      <c r="I28" s="1243">
        <v>555.04999999999995</v>
      </c>
      <c r="J28" s="49"/>
      <c r="K28" s="35" t="s">
        <v>131</v>
      </c>
      <c r="M28" s="131">
        <f>'Natwest Expenses'!I132</f>
        <v>39258.300000000003</v>
      </c>
      <c r="N28" s="49"/>
      <c r="O28" s="49"/>
      <c r="P28" s="35"/>
      <c r="R28" s="51"/>
    </row>
    <row r="29" spans="1:19" x14ac:dyDescent="0.35">
      <c r="C29" s="50"/>
      <c r="E29" s="52">
        <v>45596</v>
      </c>
      <c r="F29" s="2"/>
      <c r="G29" s="53" t="s">
        <v>225</v>
      </c>
      <c r="H29" s="2"/>
      <c r="I29" s="1243">
        <v>534.11</v>
      </c>
      <c r="J29" s="49"/>
      <c r="K29" s="35"/>
      <c r="N29" s="49"/>
      <c r="O29" s="49"/>
      <c r="P29" s="35"/>
      <c r="R29" s="41"/>
    </row>
    <row r="30" spans="1:19" x14ac:dyDescent="0.35">
      <c r="C30" s="47"/>
      <c r="D30" s="35"/>
      <c r="E30" s="55">
        <v>45625</v>
      </c>
      <c r="F30" s="53"/>
      <c r="G30" s="53" t="s">
        <v>225</v>
      </c>
      <c r="H30" s="53"/>
      <c r="I30" s="1265">
        <v>478.77</v>
      </c>
      <c r="M30" s="80"/>
      <c r="P30" s="35"/>
      <c r="R30" s="41"/>
    </row>
    <row r="31" spans="1:19" ht="15" thickBot="1" x14ac:dyDescent="0.4">
      <c r="C31" s="47"/>
      <c r="D31" s="35"/>
      <c r="E31" s="55">
        <v>45657</v>
      </c>
      <c r="F31" s="53"/>
      <c r="G31" s="53" t="s">
        <v>225</v>
      </c>
      <c r="H31" s="53"/>
      <c r="I31" s="1243">
        <v>524.03</v>
      </c>
      <c r="J31" s="35"/>
      <c r="K31" s="35" t="s">
        <v>81</v>
      </c>
      <c r="M31" s="132">
        <f>M25-M28</f>
        <v>500351.18</v>
      </c>
      <c r="N31" s="49"/>
      <c r="O31" s="49"/>
      <c r="P31" s="35"/>
      <c r="R31" s="41"/>
      <c r="S31" s="51"/>
    </row>
    <row r="32" spans="1:19" ht="15" thickTop="1" x14ac:dyDescent="0.35">
      <c r="C32" s="47"/>
      <c r="D32" s="35"/>
      <c r="E32" s="1279">
        <v>45322</v>
      </c>
      <c r="F32" s="1280"/>
      <c r="G32" s="1280" t="s">
        <v>225</v>
      </c>
      <c r="H32" s="1280"/>
      <c r="I32" s="1281">
        <v>498.54</v>
      </c>
      <c r="J32" s="35"/>
      <c r="K32" s="35"/>
      <c r="L32" s="35"/>
      <c r="M32" s="48"/>
      <c r="N32" s="48"/>
      <c r="O32" s="35"/>
      <c r="P32" s="49"/>
      <c r="Q32" s="51"/>
      <c r="R32" s="41"/>
    </row>
    <row r="33" spans="1:19" x14ac:dyDescent="0.35">
      <c r="C33" s="47"/>
      <c r="D33" s="35"/>
      <c r="E33" s="1279">
        <v>45716</v>
      </c>
      <c r="F33" s="1280"/>
      <c r="G33" s="1280" t="s">
        <v>225</v>
      </c>
      <c r="H33" s="1280"/>
      <c r="I33" s="1281">
        <v>422.35</v>
      </c>
      <c r="J33" s="35"/>
      <c r="K33" s="49"/>
      <c r="L33" s="35"/>
      <c r="M33" s="48"/>
      <c r="N33" s="48"/>
      <c r="O33" s="35"/>
      <c r="P33" s="49"/>
      <c r="Q33" s="51"/>
      <c r="R33" s="41"/>
      <c r="S33" s="51"/>
    </row>
    <row r="34" spans="1:19" x14ac:dyDescent="0.35">
      <c r="C34" s="47"/>
      <c r="D34" s="35"/>
      <c r="E34" s="1279">
        <v>45747</v>
      </c>
      <c r="F34" s="1280"/>
      <c r="G34" s="1280" t="s">
        <v>225</v>
      </c>
      <c r="H34" s="1280"/>
      <c r="I34" s="1281">
        <v>465.83</v>
      </c>
      <c r="J34" s="35"/>
      <c r="K34" s="49"/>
      <c r="L34" s="35"/>
      <c r="M34" s="48"/>
      <c r="N34" s="48"/>
      <c r="O34" s="35"/>
      <c r="P34" s="49"/>
      <c r="Q34" s="51"/>
      <c r="R34" s="41"/>
      <c r="S34" s="51"/>
    </row>
    <row r="35" spans="1:19" ht="15" thickBot="1" x14ac:dyDescent="0.4">
      <c r="A35" s="47"/>
      <c r="B35" s="35"/>
      <c r="C35" s="35"/>
      <c r="D35" s="35"/>
      <c r="E35" s="1280"/>
      <c r="F35" s="1280"/>
      <c r="G35" s="1280"/>
      <c r="H35" s="1280"/>
      <c r="I35" s="1282">
        <f>SUM(I23:I34)</f>
        <v>4945.6000000000004</v>
      </c>
      <c r="J35" s="35"/>
      <c r="K35" s="49"/>
      <c r="L35" s="35"/>
      <c r="M35" s="48"/>
      <c r="N35" s="48"/>
      <c r="O35" s="35"/>
      <c r="P35" s="49"/>
      <c r="Q35" s="51"/>
      <c r="R35" s="41"/>
      <c r="S35" s="41"/>
    </row>
    <row r="36" spans="1:19" ht="15" thickTop="1" x14ac:dyDescent="0.35">
      <c r="A36" s="47"/>
      <c r="B36" s="35"/>
      <c r="C36" s="35"/>
      <c r="D36" s="35"/>
      <c r="E36" s="35"/>
      <c r="F36" s="35"/>
      <c r="G36" s="35"/>
      <c r="H36" s="35"/>
      <c r="I36" s="48"/>
      <c r="J36" s="35"/>
      <c r="K36" s="49"/>
      <c r="L36" s="35"/>
      <c r="M36" s="48"/>
      <c r="N36" s="48"/>
      <c r="O36" s="35"/>
      <c r="P36" s="49"/>
      <c r="Q36" s="51"/>
      <c r="R36" s="41"/>
      <c r="S36" s="41"/>
    </row>
    <row r="37" spans="1:19" x14ac:dyDescent="0.35">
      <c r="A37" s="47"/>
      <c r="B37" s="35"/>
      <c r="C37" s="35"/>
      <c r="D37" s="35"/>
      <c r="E37" s="35"/>
      <c r="F37" s="35"/>
      <c r="G37" s="35"/>
      <c r="H37" s="35"/>
      <c r="I37" s="48"/>
      <c r="J37" s="35"/>
      <c r="K37" s="49"/>
      <c r="L37" s="35"/>
      <c r="M37" s="48"/>
      <c r="N37" s="49"/>
      <c r="O37" s="35"/>
      <c r="P37" s="49"/>
      <c r="Q37" s="51"/>
      <c r="R37" s="41"/>
      <c r="S37" s="41"/>
    </row>
    <row r="38" spans="1:19" x14ac:dyDescent="0.35">
      <c r="A38" s="47"/>
      <c r="B38" s="35"/>
      <c r="C38" s="35"/>
      <c r="D38" s="35"/>
      <c r="E38" s="35"/>
      <c r="F38" s="35"/>
      <c r="G38" s="35"/>
      <c r="H38" s="35"/>
      <c r="I38" s="48"/>
      <c r="J38" s="35"/>
      <c r="K38" s="49"/>
      <c r="L38" s="35"/>
      <c r="M38" s="48"/>
      <c r="N38" s="49"/>
      <c r="O38" s="49"/>
      <c r="P38" s="49"/>
      <c r="Q38" s="51"/>
      <c r="R38" s="41"/>
      <c r="S38" s="41"/>
    </row>
    <row r="39" spans="1:19" x14ac:dyDescent="0.35">
      <c r="A39" s="47"/>
      <c r="B39" s="35"/>
      <c r="C39" s="35"/>
      <c r="D39" s="35"/>
      <c r="E39" s="35"/>
      <c r="F39" s="35"/>
      <c r="G39" s="35"/>
      <c r="H39" s="35"/>
      <c r="I39" s="48"/>
      <c r="J39" s="35"/>
      <c r="K39" s="49"/>
      <c r="L39" s="49"/>
      <c r="M39" s="48"/>
      <c r="N39" s="49"/>
      <c r="O39" s="49"/>
      <c r="P39" s="49"/>
      <c r="Q39" s="51"/>
      <c r="R39" s="41"/>
    </row>
    <row r="40" spans="1:19" x14ac:dyDescent="0.35">
      <c r="A40" s="47"/>
      <c r="B40" s="35"/>
      <c r="C40" s="35"/>
      <c r="D40" s="35"/>
      <c r="E40" s="35"/>
      <c r="F40" s="35"/>
      <c r="G40" s="35"/>
      <c r="H40" s="35"/>
      <c r="I40" s="48"/>
      <c r="J40" s="35"/>
      <c r="K40" s="49"/>
      <c r="L40" s="49"/>
      <c r="M40" s="48"/>
      <c r="N40" s="49"/>
      <c r="O40" s="49"/>
      <c r="P40" s="49"/>
      <c r="Q40" s="51"/>
      <c r="R40" s="41"/>
    </row>
    <row r="41" spans="1:19" x14ac:dyDescent="0.35">
      <c r="A41" s="35"/>
      <c r="B41" s="35"/>
      <c r="C41" s="35"/>
      <c r="D41" s="35"/>
      <c r="E41" s="35"/>
      <c r="F41" s="35"/>
      <c r="G41" s="35"/>
      <c r="H41" s="35"/>
      <c r="I41" s="48"/>
      <c r="J41" s="35"/>
      <c r="K41" s="35"/>
      <c r="L41" s="35"/>
      <c r="M41" s="48"/>
      <c r="N41" s="49"/>
      <c r="O41" s="49"/>
      <c r="P41" s="49"/>
      <c r="Q41" s="51"/>
      <c r="R41" s="41"/>
    </row>
    <row r="42" spans="1:19" x14ac:dyDescent="0.35">
      <c r="A42" s="47"/>
      <c r="B42" s="35"/>
      <c r="C42" s="35"/>
      <c r="D42" s="35"/>
      <c r="E42" s="35"/>
      <c r="F42" s="35"/>
      <c r="G42" s="35"/>
      <c r="H42" s="35"/>
      <c r="I42" s="48"/>
      <c r="J42" s="35"/>
      <c r="K42" s="35"/>
      <c r="L42" s="49"/>
      <c r="M42" s="48"/>
      <c r="N42" s="49"/>
      <c r="O42" s="49"/>
      <c r="P42" s="49"/>
      <c r="Q42" s="51"/>
      <c r="R42" s="41"/>
    </row>
    <row r="43" spans="1:19" x14ac:dyDescent="0.35">
      <c r="A43" s="47"/>
      <c r="B43" s="35"/>
      <c r="C43" s="35"/>
      <c r="D43" s="35"/>
      <c r="E43" s="35"/>
      <c r="F43" s="35"/>
      <c r="G43" s="35"/>
      <c r="H43" s="35"/>
      <c r="I43" s="48"/>
      <c r="J43" s="35"/>
      <c r="K43" s="49"/>
      <c r="L43" s="49"/>
      <c r="M43" s="48"/>
      <c r="N43" s="49"/>
      <c r="O43" s="49"/>
      <c r="P43" s="49"/>
      <c r="Q43" s="51"/>
      <c r="R43" s="41"/>
    </row>
    <row r="44" spans="1:19" x14ac:dyDescent="0.35">
      <c r="A44" s="47"/>
      <c r="B44" s="35"/>
      <c r="C44" s="35"/>
      <c r="D44" s="35"/>
      <c r="E44" s="35"/>
      <c r="F44" s="35"/>
      <c r="G44" s="35"/>
      <c r="H44" s="35"/>
      <c r="I44" s="48"/>
      <c r="J44" s="35"/>
      <c r="K44" s="35"/>
      <c r="L44" s="49"/>
      <c r="M44" s="48"/>
      <c r="N44" s="49"/>
      <c r="O44" s="49"/>
      <c r="P44" s="35"/>
      <c r="Q44" s="51"/>
      <c r="R44" s="41"/>
    </row>
    <row r="45" spans="1:19" x14ac:dyDescent="0.35">
      <c r="A45" s="47"/>
      <c r="B45" s="35"/>
      <c r="C45" s="35"/>
      <c r="D45" s="35"/>
      <c r="E45" s="35"/>
      <c r="F45" s="35"/>
      <c r="G45" s="35"/>
      <c r="H45" s="35"/>
      <c r="I45" s="48"/>
      <c r="J45" s="35"/>
      <c r="K45" s="35"/>
      <c r="L45" s="49"/>
      <c r="M45" s="48"/>
      <c r="N45" s="49"/>
      <c r="O45" s="35"/>
      <c r="P45" s="35"/>
      <c r="Q45" s="51"/>
      <c r="R45" s="41"/>
    </row>
    <row r="46" spans="1:19" x14ac:dyDescent="0.35">
      <c r="A46" s="47"/>
      <c r="B46" s="35"/>
      <c r="C46" s="35"/>
      <c r="D46" s="35"/>
      <c r="E46" s="35"/>
      <c r="F46" s="35"/>
      <c r="G46" s="35"/>
      <c r="H46" s="35"/>
      <c r="I46" s="48"/>
      <c r="J46" s="35"/>
      <c r="K46" s="35"/>
      <c r="L46" s="49"/>
      <c r="M46" s="48"/>
      <c r="N46" s="49"/>
      <c r="O46" s="35"/>
      <c r="P46" s="35"/>
      <c r="Q46" s="51"/>
      <c r="R46" s="41"/>
    </row>
    <row r="47" spans="1:19" x14ac:dyDescent="0.35">
      <c r="A47" s="47"/>
      <c r="B47" s="35"/>
      <c r="C47" s="35"/>
      <c r="D47" s="35"/>
      <c r="E47" s="35"/>
      <c r="F47" s="35"/>
      <c r="G47" s="35"/>
      <c r="H47" s="35"/>
      <c r="I47" s="48"/>
      <c r="J47" s="35"/>
      <c r="K47" s="35"/>
      <c r="L47" s="35"/>
      <c r="M47" s="48"/>
      <c r="N47" s="49"/>
      <c r="O47" s="35"/>
      <c r="P47" s="35"/>
      <c r="Q47" s="51"/>
      <c r="R47" s="41"/>
    </row>
    <row r="48" spans="1:19" x14ac:dyDescent="0.35">
      <c r="A48" s="47"/>
      <c r="B48" s="35"/>
      <c r="C48" s="35"/>
      <c r="D48" s="35"/>
      <c r="E48" s="35"/>
      <c r="F48" s="35"/>
      <c r="G48" s="35"/>
      <c r="H48" s="35"/>
      <c r="I48" s="48"/>
      <c r="J48" s="35"/>
      <c r="K48" s="49"/>
      <c r="L48" s="35"/>
      <c r="M48" s="48"/>
      <c r="N48" s="49"/>
      <c r="O48" s="35"/>
      <c r="P48" s="35"/>
      <c r="Q48" s="51"/>
      <c r="R48" s="41"/>
      <c r="S48" s="51"/>
    </row>
    <row r="49" spans="1:18" x14ac:dyDescent="0.35">
      <c r="A49" s="47"/>
      <c r="B49" s="35"/>
      <c r="C49" s="35"/>
      <c r="D49" s="35"/>
      <c r="E49" s="35"/>
      <c r="F49" s="35"/>
      <c r="G49" s="35"/>
      <c r="H49" s="48"/>
      <c r="I49" s="48"/>
      <c r="J49" s="35"/>
      <c r="K49" s="35"/>
      <c r="L49" s="35"/>
      <c r="M49" s="48"/>
      <c r="N49" s="49"/>
      <c r="O49" s="35"/>
      <c r="P49" s="49"/>
      <c r="Q49" s="51"/>
      <c r="R49" s="41"/>
    </row>
    <row r="50" spans="1:18" x14ac:dyDescent="0.35">
      <c r="A50" s="47"/>
      <c r="B50" s="35"/>
      <c r="C50" s="35"/>
      <c r="D50" s="35"/>
      <c r="E50" s="35"/>
      <c r="F50" s="35"/>
      <c r="G50" s="35"/>
      <c r="H50" s="48"/>
      <c r="I50" s="48"/>
      <c r="J50" s="35"/>
      <c r="K50" s="35"/>
      <c r="L50" s="35"/>
      <c r="M50" s="48"/>
      <c r="N50" s="48"/>
      <c r="O50" s="49"/>
      <c r="P50" s="49"/>
      <c r="Q50" s="51"/>
      <c r="R50" s="41"/>
    </row>
    <row r="51" spans="1:18" x14ac:dyDescent="0.35">
      <c r="A51" s="47"/>
      <c r="B51" s="35"/>
      <c r="C51" s="35"/>
      <c r="D51" s="35"/>
      <c r="E51" s="35"/>
      <c r="F51" s="35"/>
      <c r="G51" s="35"/>
      <c r="H51" s="48"/>
      <c r="I51" s="48"/>
      <c r="J51" s="35"/>
      <c r="K51" s="48"/>
      <c r="L51" s="35"/>
      <c r="M51" s="48"/>
      <c r="N51" s="49"/>
      <c r="O51" s="49"/>
      <c r="P51" s="49"/>
      <c r="Q51" s="51"/>
      <c r="R51" s="41"/>
    </row>
    <row r="52" spans="1:18" x14ac:dyDescent="0.35">
      <c r="A52" s="47"/>
      <c r="B52" s="35"/>
      <c r="C52" s="35"/>
      <c r="D52" s="35"/>
      <c r="E52" s="35"/>
      <c r="F52" s="35"/>
      <c r="G52" s="35"/>
      <c r="H52" s="48"/>
      <c r="I52" s="48"/>
      <c r="J52" s="49"/>
      <c r="K52" s="48"/>
      <c r="L52" s="35"/>
      <c r="M52" s="48"/>
      <c r="N52" s="48"/>
      <c r="O52" s="49"/>
      <c r="P52" s="49"/>
      <c r="Q52" s="51"/>
      <c r="R52" s="41"/>
    </row>
    <row r="53" spans="1:18" x14ac:dyDescent="0.35">
      <c r="P53" s="49"/>
    </row>
    <row r="54" spans="1:18" x14ac:dyDescent="0.35">
      <c r="P54" s="48"/>
      <c r="Q54" s="41"/>
      <c r="R54" s="41"/>
    </row>
    <row r="55" spans="1:18" x14ac:dyDescent="0.35">
      <c r="P55" s="48"/>
      <c r="Q55" s="41"/>
      <c r="R55" s="41"/>
    </row>
    <row r="60" spans="1:18" x14ac:dyDescent="0.35">
      <c r="O60" s="49"/>
      <c r="P60" s="48"/>
      <c r="Q60" s="41"/>
      <c r="R60" s="41"/>
    </row>
    <row r="61" spans="1:18" x14ac:dyDescent="0.35">
      <c r="O61" s="35"/>
      <c r="P61" s="48"/>
      <c r="Q61" s="41"/>
      <c r="R61" s="41"/>
    </row>
    <row r="62" spans="1:18" x14ac:dyDescent="0.35">
      <c r="O62" s="49"/>
      <c r="P62" s="48"/>
      <c r="Q62" s="41"/>
      <c r="R62" s="41"/>
    </row>
    <row r="63" spans="1:18" x14ac:dyDescent="0.35">
      <c r="O63" s="48"/>
      <c r="P63" s="48"/>
      <c r="Q63" s="41"/>
      <c r="R63" s="41"/>
    </row>
    <row r="64" spans="1:18" x14ac:dyDescent="0.35">
      <c r="A64" s="47"/>
      <c r="B64" s="35"/>
      <c r="C64" s="35"/>
      <c r="D64" s="35"/>
      <c r="E64" s="35"/>
      <c r="F64" s="35"/>
      <c r="G64" s="35"/>
      <c r="H64" s="35"/>
      <c r="I64" s="48"/>
      <c r="J64" s="49"/>
      <c r="K64" s="48"/>
      <c r="L64" s="35"/>
      <c r="M64" s="48"/>
      <c r="N64" s="48"/>
      <c r="O64" s="48"/>
      <c r="P64" s="48"/>
      <c r="Q64" s="41"/>
      <c r="R64" s="41"/>
    </row>
    <row r="65" spans="1:18" x14ac:dyDescent="0.35">
      <c r="A65" s="47"/>
      <c r="B65" s="35"/>
      <c r="C65" s="35"/>
      <c r="D65" s="35"/>
      <c r="E65" s="35"/>
      <c r="F65" s="35"/>
      <c r="G65" s="35"/>
      <c r="H65" s="35"/>
      <c r="I65" s="48"/>
      <c r="J65" s="35"/>
      <c r="K65" s="49"/>
      <c r="L65" s="35"/>
      <c r="M65" s="48"/>
      <c r="N65" s="49"/>
      <c r="O65" s="49"/>
      <c r="P65" s="48"/>
      <c r="Q65" s="41"/>
      <c r="R65" s="41"/>
    </row>
    <row r="66" spans="1:18" x14ac:dyDescent="0.35">
      <c r="Q66" s="41"/>
      <c r="R66" s="41"/>
    </row>
    <row r="69" spans="1:18" x14ac:dyDescent="0.35">
      <c r="I69"/>
      <c r="P69" s="41"/>
      <c r="Q69" s="41"/>
      <c r="R69" s="41"/>
    </row>
    <row r="70" spans="1:18" x14ac:dyDescent="0.35">
      <c r="I70"/>
      <c r="J70" s="41"/>
      <c r="K70" s="41"/>
      <c r="L70" s="41"/>
      <c r="O70" s="41"/>
      <c r="P70" s="41"/>
      <c r="Q70" s="41"/>
      <c r="R70" s="41"/>
    </row>
    <row r="71" spans="1:18" x14ac:dyDescent="0.35">
      <c r="I71"/>
      <c r="J71" s="41"/>
      <c r="K71" s="41"/>
      <c r="L71" s="41"/>
      <c r="O71" s="41"/>
      <c r="P71" s="41"/>
      <c r="Q71" s="41"/>
      <c r="R71" s="41"/>
    </row>
    <row r="72" spans="1:18" x14ac:dyDescent="0.35">
      <c r="I72"/>
      <c r="J72" s="41"/>
      <c r="K72" s="41"/>
      <c r="L72" s="41"/>
      <c r="O72" s="41"/>
      <c r="P72" s="41"/>
      <c r="Q72" s="41"/>
      <c r="R72" s="41"/>
    </row>
    <row r="73" spans="1:18" x14ac:dyDescent="0.35">
      <c r="I73"/>
      <c r="J73" s="41"/>
      <c r="K73" s="41"/>
      <c r="L73" s="41"/>
      <c r="O73" s="41"/>
      <c r="P73" s="41"/>
      <c r="Q73" s="41"/>
      <c r="R73" s="41"/>
    </row>
    <row r="74" spans="1:18" x14ac:dyDescent="0.35">
      <c r="I74"/>
      <c r="J74" s="41"/>
      <c r="K74" s="41"/>
      <c r="L74" s="41"/>
      <c r="O74" s="41"/>
      <c r="P74" s="41"/>
      <c r="Q74" s="41"/>
      <c r="R74" s="41"/>
    </row>
    <row r="75" spans="1:18" x14ac:dyDescent="0.35">
      <c r="I75"/>
      <c r="J75" s="41"/>
      <c r="K75" s="41"/>
      <c r="L75" s="41"/>
      <c r="O75" s="41"/>
      <c r="P75" s="41"/>
      <c r="Q75" s="41"/>
      <c r="R75" s="41"/>
    </row>
    <row r="76" spans="1:18" x14ac:dyDescent="0.35">
      <c r="I76"/>
      <c r="J76" s="41"/>
      <c r="K76" s="41"/>
      <c r="L76" s="41"/>
      <c r="O76" s="41"/>
      <c r="P76" s="41"/>
      <c r="Q76" s="41"/>
      <c r="R76" s="41"/>
    </row>
    <row r="77" spans="1:18" x14ac:dyDescent="0.35">
      <c r="I77"/>
      <c r="J77" s="41"/>
      <c r="L77" s="41"/>
      <c r="O77" s="41"/>
      <c r="P77" s="41"/>
      <c r="Q77" s="41"/>
      <c r="R77" s="41"/>
    </row>
    <row r="78" spans="1:18" x14ac:dyDescent="0.35">
      <c r="I78"/>
      <c r="J78" s="41"/>
      <c r="L78" s="41"/>
      <c r="O78" s="41"/>
      <c r="P78" s="41"/>
      <c r="Q78" s="41"/>
      <c r="R78" s="41"/>
    </row>
    <row r="79" spans="1:18" x14ac:dyDescent="0.35">
      <c r="I79"/>
      <c r="J79" s="41"/>
      <c r="L79" s="41"/>
      <c r="O79" s="41"/>
      <c r="P79" s="41"/>
      <c r="Q79" s="41"/>
      <c r="R79" s="41"/>
    </row>
    <row r="80" spans="1:18" x14ac:dyDescent="0.35">
      <c r="I80"/>
      <c r="J80" s="41"/>
      <c r="K80" s="41"/>
      <c r="L80" s="41"/>
      <c r="O80" s="41"/>
      <c r="P80" s="41"/>
      <c r="Q80" s="41"/>
      <c r="R80" s="41"/>
    </row>
    <row r="81" spans="9:18" x14ac:dyDescent="0.35">
      <c r="I81"/>
      <c r="J81" s="41"/>
      <c r="K81" s="41"/>
      <c r="L81" s="41"/>
      <c r="O81" s="41"/>
      <c r="P81" s="41"/>
      <c r="Q81" s="41"/>
      <c r="R81" s="41"/>
    </row>
    <row r="82" spans="9:18" x14ac:dyDescent="0.35">
      <c r="I82"/>
      <c r="J82" s="41"/>
      <c r="K82" s="41"/>
      <c r="L82" s="41"/>
      <c r="O82" s="41"/>
      <c r="P82" s="41"/>
      <c r="Q82" s="41"/>
      <c r="R82" s="41"/>
    </row>
    <row r="83" spans="9:18" x14ac:dyDescent="0.35">
      <c r="I83"/>
      <c r="J83" s="41"/>
      <c r="K83" s="41"/>
      <c r="L83" s="41"/>
      <c r="O83" s="41"/>
      <c r="P83" s="41"/>
      <c r="Q83" s="41"/>
      <c r="R83" s="41"/>
    </row>
    <row r="84" spans="9:18" x14ac:dyDescent="0.35">
      <c r="I84"/>
      <c r="J84" s="41"/>
      <c r="K84" s="41"/>
      <c r="L84" s="41"/>
      <c r="O84" s="41"/>
      <c r="P84" s="41"/>
      <c r="Q84" s="41"/>
      <c r="R84" s="41"/>
    </row>
    <row r="85" spans="9:18" x14ac:dyDescent="0.35">
      <c r="I85"/>
      <c r="J85" s="41"/>
      <c r="K85" s="41"/>
      <c r="L85" s="41"/>
      <c r="O85" s="41"/>
      <c r="P85" s="41"/>
      <c r="Q85" s="41"/>
      <c r="R85" s="41"/>
    </row>
    <row r="86" spans="9:18" x14ac:dyDescent="0.35">
      <c r="I86"/>
      <c r="J86" s="41"/>
      <c r="K86" s="41"/>
      <c r="L86" s="41"/>
      <c r="O86" s="41"/>
      <c r="P86" s="41"/>
      <c r="Q86" s="41"/>
      <c r="R86" s="41"/>
    </row>
    <row r="87" spans="9:18" x14ac:dyDescent="0.35">
      <c r="I87"/>
      <c r="J87" s="41"/>
      <c r="K87" s="41"/>
      <c r="L87" s="41"/>
      <c r="O87" s="41"/>
      <c r="P87" s="41"/>
      <c r="Q87" s="41"/>
      <c r="R87" s="41"/>
    </row>
  </sheetData>
  <pageMargins left="0.70866141732283472" right="0.70866141732283472" top="0.74803149606299213" bottom="0.74803149606299213" header="0.31496062992125984" footer="0.31496062992125984"/>
  <pageSetup paperSize="9" scale="62" orientation="landscape" r:id="rId1"/>
  <headerFooter>
    <oddHeader>&amp;CBarwick and Stoford Income Cashbook</oddHeader>
    <oddFooter>&amp;L&amp;F&amp;C&amp;P  / &amp;N&amp;R&amp;D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689B8-D1FD-428D-B7E1-2D8E72116DDD}">
  <sheetPr>
    <pageSetUpPr fitToPage="1"/>
  </sheetPr>
  <dimension ref="B2:H9"/>
  <sheetViews>
    <sheetView workbookViewId="0">
      <selection sqref="A1:H9"/>
    </sheetView>
  </sheetViews>
  <sheetFormatPr defaultRowHeight="14.5" x14ac:dyDescent="0.35"/>
  <cols>
    <col min="2" max="2" width="15.453125" bestFit="1" customWidth="1"/>
    <col min="3" max="3" width="9" bestFit="1" customWidth="1"/>
    <col min="4" max="4" width="41.26953125" bestFit="1" customWidth="1"/>
    <col min="5" max="5" width="39.453125" bestFit="1" customWidth="1"/>
    <col min="6" max="6" width="7" bestFit="1" customWidth="1"/>
    <col min="7" max="7" width="14" bestFit="1" customWidth="1"/>
    <col min="8" max="8" width="13.81640625" bestFit="1" customWidth="1"/>
  </cols>
  <sheetData>
    <row r="2" spans="2:8" ht="18.5" x14ac:dyDescent="0.45">
      <c r="B2" s="1269" t="s">
        <v>1086</v>
      </c>
      <c r="C2" s="1270">
        <v>45689</v>
      </c>
      <c r="D2" s="1269"/>
      <c r="E2" s="1269"/>
      <c r="F2" s="1269"/>
      <c r="G2" s="1276" t="s">
        <v>79</v>
      </c>
      <c r="H2" s="1276" t="s">
        <v>51</v>
      </c>
    </row>
    <row r="3" spans="2:8" ht="18.5" x14ac:dyDescent="0.45">
      <c r="B3" s="1269"/>
      <c r="C3" s="1269"/>
      <c r="D3" s="1269"/>
      <c r="E3" s="1269"/>
      <c r="F3" s="1269"/>
      <c r="G3" s="1269"/>
      <c r="H3" s="1269"/>
    </row>
    <row r="4" spans="2:8" ht="18.5" x14ac:dyDescent="0.45">
      <c r="B4" s="1271">
        <v>45707</v>
      </c>
      <c r="C4" s="1272">
        <v>2717</v>
      </c>
      <c r="D4" s="1273" t="s">
        <v>791</v>
      </c>
      <c r="E4" s="1273" t="s">
        <v>1081</v>
      </c>
      <c r="F4" s="1268" t="s">
        <v>941</v>
      </c>
      <c r="G4" s="1274">
        <v>977.19</v>
      </c>
      <c r="H4" s="1275"/>
    </row>
    <row r="5" spans="2:8" ht="18.5" x14ac:dyDescent="0.45">
      <c r="B5" s="1271">
        <v>45707</v>
      </c>
      <c r="C5" s="1272">
        <v>2717</v>
      </c>
      <c r="D5" s="1273" t="s">
        <v>791</v>
      </c>
      <c r="E5" s="1273" t="s">
        <v>1082</v>
      </c>
      <c r="F5" s="1268" t="s">
        <v>941</v>
      </c>
      <c r="G5" s="1274">
        <v>26</v>
      </c>
      <c r="H5" s="1275">
        <f>SUM(G4:G5)</f>
        <v>1003.19</v>
      </c>
    </row>
    <row r="6" spans="2:8" ht="18.5" x14ac:dyDescent="0.45">
      <c r="B6" s="1271">
        <v>45707</v>
      </c>
      <c r="C6" s="1272">
        <v>2718</v>
      </c>
      <c r="D6" s="1273" t="s">
        <v>796</v>
      </c>
      <c r="E6" s="1273" t="s">
        <v>1083</v>
      </c>
      <c r="F6" s="1268" t="s">
        <v>945</v>
      </c>
      <c r="G6" s="1274">
        <v>349.2</v>
      </c>
      <c r="H6" s="1275">
        <v>349.2</v>
      </c>
    </row>
    <row r="7" spans="2:8" ht="18.5" x14ac:dyDescent="0.45">
      <c r="B7" s="1271">
        <v>45707</v>
      </c>
      <c r="C7" s="1272">
        <v>2719</v>
      </c>
      <c r="D7" s="1273" t="s">
        <v>799</v>
      </c>
      <c r="E7" s="1273" t="s">
        <v>1084</v>
      </c>
      <c r="F7" s="1268" t="s">
        <v>947</v>
      </c>
      <c r="G7" s="1274">
        <v>367.32</v>
      </c>
      <c r="H7" s="1275">
        <v>367.32</v>
      </c>
    </row>
    <row r="8" spans="2:8" ht="18.5" x14ac:dyDescent="0.45">
      <c r="B8" s="1271">
        <v>45707</v>
      </c>
      <c r="C8" s="1272">
        <v>2720</v>
      </c>
      <c r="D8" s="1273" t="s">
        <v>801</v>
      </c>
      <c r="E8" s="1273" t="s">
        <v>802</v>
      </c>
      <c r="F8" s="1268" t="s">
        <v>949</v>
      </c>
      <c r="G8" s="1274">
        <v>140.4</v>
      </c>
      <c r="H8" s="1275">
        <v>140.4</v>
      </c>
    </row>
    <row r="9" spans="2:8" ht="18.5" x14ac:dyDescent="0.45">
      <c r="B9" s="1271">
        <v>45707</v>
      </c>
      <c r="C9" s="1272" t="s">
        <v>810</v>
      </c>
      <c r="D9" s="1273" t="s">
        <v>807</v>
      </c>
      <c r="E9" s="1273" t="s">
        <v>1085</v>
      </c>
      <c r="F9" s="1268" t="s">
        <v>953</v>
      </c>
      <c r="G9" s="1274">
        <v>43</v>
      </c>
      <c r="H9" s="1275">
        <v>43</v>
      </c>
    </row>
  </sheetData>
  <pageMargins left="0.7" right="0.7" top="0.75" bottom="0.75" header="0.3" footer="0.3"/>
  <pageSetup paperSize="9" scale="8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29C87-C22E-4296-B5AF-B6E3B213A84F}">
  <sheetPr>
    <pageSetUpPr fitToPage="1"/>
  </sheetPr>
  <dimension ref="A1:R44"/>
  <sheetViews>
    <sheetView workbookViewId="0">
      <selection activeCell="I39" sqref="I39"/>
    </sheetView>
  </sheetViews>
  <sheetFormatPr defaultRowHeight="14.5" x14ac:dyDescent="0.35"/>
  <cols>
    <col min="2" max="2" width="40.453125" customWidth="1"/>
    <col min="3" max="3" width="12.54296875" customWidth="1"/>
    <col min="4" max="4" width="10.54296875" bestFit="1" customWidth="1"/>
    <col min="5" max="5" width="10.1796875" bestFit="1" customWidth="1"/>
    <col min="6" max="6" width="11.7265625" customWidth="1"/>
    <col min="7" max="7" width="10.1796875" bestFit="1" customWidth="1"/>
    <col min="8" max="8" width="4.26953125" bestFit="1" customWidth="1"/>
    <col min="9" max="9" width="12.81640625" customWidth="1"/>
  </cols>
  <sheetData>
    <row r="1" spans="1:9" x14ac:dyDescent="0.35">
      <c r="A1" s="40" t="s">
        <v>90</v>
      </c>
      <c r="B1" s="36"/>
      <c r="C1" s="36"/>
      <c r="D1" s="40" t="s">
        <v>832</v>
      </c>
      <c r="E1" s="36"/>
      <c r="F1" s="36"/>
      <c r="G1" s="36"/>
    </row>
    <row r="2" spans="1:9" x14ac:dyDescent="0.35">
      <c r="A2" s="40" t="s">
        <v>1140</v>
      </c>
      <c r="B2" s="36"/>
      <c r="C2" s="36"/>
      <c r="D2" s="57"/>
      <c r="E2" s="36"/>
      <c r="F2" s="36"/>
      <c r="G2" s="36"/>
    </row>
    <row r="3" spans="1:9" x14ac:dyDescent="0.35">
      <c r="A3" s="1410"/>
      <c r="B3" s="1410"/>
      <c r="C3" s="1410"/>
      <c r="D3" s="1410"/>
      <c r="E3" s="1410"/>
      <c r="F3" s="1410"/>
      <c r="G3" s="1410"/>
    </row>
    <row r="4" spans="1:9" x14ac:dyDescent="0.35">
      <c r="A4" s="36"/>
      <c r="B4" s="36"/>
      <c r="C4" s="36"/>
      <c r="D4" s="36"/>
      <c r="E4" s="38"/>
      <c r="F4" s="38"/>
      <c r="G4" s="36"/>
    </row>
    <row r="5" spans="1:9" x14ac:dyDescent="0.35">
      <c r="A5" s="40" t="s">
        <v>833</v>
      </c>
      <c r="B5" s="36"/>
      <c r="C5" s="58"/>
      <c r="D5" s="36"/>
      <c r="E5" s="38"/>
      <c r="F5" s="38"/>
      <c r="G5" s="36"/>
    </row>
    <row r="6" spans="1:9" x14ac:dyDescent="0.35">
      <c r="A6" s="36"/>
      <c r="B6" s="36" t="s">
        <v>109</v>
      </c>
      <c r="C6" s="36"/>
      <c r="D6" s="36"/>
      <c r="E6" s="38">
        <v>100</v>
      </c>
      <c r="F6" s="38"/>
      <c r="G6" s="36"/>
    </row>
    <row r="7" spans="1:9" x14ac:dyDescent="0.35">
      <c r="A7" s="36"/>
      <c r="B7" s="36" t="s">
        <v>110</v>
      </c>
      <c r="C7" s="36"/>
      <c r="D7" s="36"/>
      <c r="E7" s="38">
        <v>43500.39</v>
      </c>
      <c r="F7" s="38"/>
      <c r="G7" s="36"/>
    </row>
    <row r="8" spans="1:9" x14ac:dyDescent="0.35">
      <c r="A8" s="36"/>
      <c r="B8" s="36" t="s">
        <v>362</v>
      </c>
      <c r="C8" s="36"/>
      <c r="D8" s="36"/>
      <c r="E8" s="38">
        <v>15923.82</v>
      </c>
      <c r="F8" s="38"/>
      <c r="G8" s="36"/>
    </row>
    <row r="9" spans="1:9" x14ac:dyDescent="0.35">
      <c r="A9" s="36"/>
      <c r="B9" s="36" t="s">
        <v>363</v>
      </c>
      <c r="C9" s="36"/>
      <c r="D9" s="36"/>
      <c r="E9" s="59">
        <v>50813.98</v>
      </c>
      <c r="G9" s="36"/>
    </row>
    <row r="10" spans="1:9" x14ac:dyDescent="0.35">
      <c r="A10" s="36"/>
      <c r="B10" s="36"/>
      <c r="C10" s="36"/>
      <c r="D10" s="36"/>
      <c r="E10" s="38"/>
      <c r="F10" s="38">
        <f>SUM(E6:E9)</f>
        <v>110338.19</v>
      </c>
      <c r="G10" s="36"/>
    </row>
    <row r="11" spans="1:9" x14ac:dyDescent="0.35">
      <c r="A11" s="36"/>
      <c r="B11" s="36"/>
      <c r="C11" s="36"/>
      <c r="D11" s="36"/>
      <c r="E11" s="38"/>
      <c r="F11" s="38"/>
      <c r="G11" s="36"/>
    </row>
    <row r="12" spans="1:9" x14ac:dyDescent="0.35">
      <c r="A12" s="60" t="s">
        <v>91</v>
      </c>
      <c r="B12" s="36" t="s">
        <v>1067</v>
      </c>
      <c r="C12" s="36"/>
      <c r="D12" s="591">
        <v>428032.73</v>
      </c>
      <c r="E12" s="38"/>
      <c r="F12" s="38"/>
      <c r="G12" s="36"/>
    </row>
    <row r="13" spans="1:9" x14ac:dyDescent="0.35">
      <c r="A13" s="36"/>
      <c r="B13" s="36" t="s">
        <v>1068</v>
      </c>
      <c r="C13" s="36"/>
      <c r="D13" s="79">
        <v>1374.56</v>
      </c>
      <c r="F13" s="38"/>
      <c r="G13" s="36"/>
    </row>
    <row r="14" spans="1:9" x14ac:dyDescent="0.35">
      <c r="A14" s="36"/>
      <c r="B14" s="36"/>
      <c r="C14" s="36"/>
      <c r="D14" s="36"/>
      <c r="E14" s="36">
        <f>SUM(D12:D13)</f>
        <v>429407.29</v>
      </c>
      <c r="F14" s="38"/>
      <c r="G14" s="36"/>
    </row>
    <row r="15" spans="1:9" x14ac:dyDescent="0.35">
      <c r="A15" s="60" t="s">
        <v>92</v>
      </c>
      <c r="B15" s="36" t="s">
        <v>1065</v>
      </c>
      <c r="C15" s="36"/>
      <c r="D15" s="36">
        <v>39258.300000000003</v>
      </c>
      <c r="E15" s="38"/>
      <c r="F15" s="36"/>
      <c r="G15" s="36"/>
    </row>
    <row r="16" spans="1:9" x14ac:dyDescent="0.35">
      <c r="A16" s="36"/>
      <c r="B16" s="36" t="s">
        <v>1066</v>
      </c>
      <c r="C16" s="36"/>
      <c r="D16" s="1266">
        <v>36</v>
      </c>
      <c r="F16" s="38"/>
      <c r="G16" s="36"/>
      <c r="I16" t="s">
        <v>337</v>
      </c>
    </row>
    <row r="17" spans="1:18" x14ac:dyDescent="0.35">
      <c r="A17" s="36"/>
      <c r="B17" s="36"/>
      <c r="C17" s="36"/>
      <c r="D17" s="36"/>
      <c r="E17" s="38">
        <f>SUM(D15:D16)</f>
        <v>39294.300000000003</v>
      </c>
      <c r="F17" s="38"/>
      <c r="G17" s="36"/>
    </row>
    <row r="18" spans="1:18" x14ac:dyDescent="0.35">
      <c r="A18" s="36"/>
      <c r="B18" s="36"/>
      <c r="C18" s="36"/>
      <c r="D18" s="36"/>
      <c r="E18" s="38"/>
      <c r="F18" s="38">
        <f>E14-E17</f>
        <v>390112.99</v>
      </c>
      <c r="G18" s="36"/>
    </row>
    <row r="19" spans="1:18" ht="15" thickBot="1" x14ac:dyDescent="0.4">
      <c r="A19" s="40" t="s">
        <v>1141</v>
      </c>
      <c r="B19" s="36"/>
      <c r="C19" s="36"/>
      <c r="D19" s="36"/>
      <c r="E19" s="38"/>
      <c r="F19" s="61">
        <f>F10+F18</f>
        <v>500451.18</v>
      </c>
      <c r="G19" s="36"/>
    </row>
    <row r="20" spans="1:18" ht="15" thickTop="1" x14ac:dyDescent="0.35">
      <c r="A20" s="36"/>
      <c r="B20" s="36"/>
      <c r="C20" s="36"/>
      <c r="D20" s="36"/>
      <c r="E20" s="38"/>
      <c r="F20" s="38"/>
      <c r="G20" s="36"/>
      <c r="I20" s="51"/>
    </row>
    <row r="21" spans="1:18" x14ac:dyDescent="0.35">
      <c r="A21" s="36"/>
      <c r="B21" s="36"/>
      <c r="C21" s="36"/>
      <c r="D21" s="36"/>
      <c r="E21" s="36"/>
      <c r="F21" s="36"/>
      <c r="G21" s="36"/>
      <c r="H21" t="s">
        <v>351</v>
      </c>
      <c r="I21" s="125">
        <f>F19-F41</f>
        <v>0</v>
      </c>
    </row>
    <row r="22" spans="1:18" x14ac:dyDescent="0.35">
      <c r="A22" s="36"/>
      <c r="B22" s="40" t="s">
        <v>93</v>
      </c>
      <c r="C22" s="40"/>
      <c r="D22" s="36"/>
      <c r="E22" s="36"/>
      <c r="F22" s="36"/>
      <c r="G22" s="36"/>
    </row>
    <row r="23" spans="1:18" x14ac:dyDescent="0.35">
      <c r="A23" s="36"/>
      <c r="B23" s="36"/>
      <c r="C23" s="36"/>
      <c r="D23" s="36"/>
      <c r="E23" s="36"/>
      <c r="F23" s="38"/>
      <c r="G23" s="36"/>
    </row>
    <row r="24" spans="1:18" x14ac:dyDescent="0.35">
      <c r="A24" s="36"/>
      <c r="B24" s="35" t="s">
        <v>1142</v>
      </c>
      <c r="C24" s="36"/>
      <c r="D24" s="36"/>
      <c r="E24" s="36"/>
      <c r="F24" s="37"/>
      <c r="G24" s="36"/>
    </row>
    <row r="25" spans="1:18" x14ac:dyDescent="0.35">
      <c r="A25" s="36"/>
      <c r="B25" s="36" t="s">
        <v>94</v>
      </c>
      <c r="C25" s="36"/>
      <c r="D25" s="36"/>
      <c r="E25" s="36"/>
      <c r="F25" s="37">
        <v>100</v>
      </c>
      <c r="G25" s="36"/>
    </row>
    <row r="26" spans="1:18" x14ac:dyDescent="0.35">
      <c r="A26" s="36"/>
      <c r="B26" s="36" t="s">
        <v>95</v>
      </c>
      <c r="C26" s="36"/>
      <c r="D26" s="36"/>
      <c r="E26" s="36"/>
      <c r="F26" s="37">
        <v>437039.91</v>
      </c>
      <c r="G26" s="36"/>
      <c r="M26" s="36"/>
      <c r="Q26" s="37"/>
      <c r="R26" s="36"/>
    </row>
    <row r="27" spans="1:18" x14ac:dyDescent="0.35">
      <c r="A27" s="36"/>
      <c r="B27" s="36" t="s">
        <v>360</v>
      </c>
      <c r="C27" s="36"/>
      <c r="D27" s="36"/>
      <c r="E27" s="37"/>
      <c r="F27" s="36">
        <v>15887.82</v>
      </c>
      <c r="G27" s="36"/>
      <c r="M27" s="36"/>
      <c r="Q27" s="37"/>
      <c r="R27" s="36"/>
    </row>
    <row r="28" spans="1:18" x14ac:dyDescent="0.35">
      <c r="A28" s="36"/>
      <c r="B28" s="36" t="s">
        <v>361</v>
      </c>
      <c r="C28" s="39"/>
      <c r="D28" s="36"/>
      <c r="E28" s="62"/>
      <c r="F28" s="37">
        <v>52188.54</v>
      </c>
      <c r="G28" s="36"/>
      <c r="J28" s="62"/>
      <c r="M28" s="36"/>
      <c r="Q28" s="37"/>
      <c r="R28" s="36"/>
    </row>
    <row r="29" spans="1:18" x14ac:dyDescent="0.35">
      <c r="A29" s="36"/>
      <c r="B29" s="36"/>
      <c r="C29" s="39"/>
      <c r="D29" s="36"/>
      <c r="E29" s="62"/>
      <c r="F29" s="37"/>
      <c r="G29" s="36"/>
      <c r="J29" s="62"/>
      <c r="M29" s="36"/>
      <c r="Q29" s="37"/>
      <c r="R29" s="36"/>
    </row>
    <row r="30" spans="1:18" x14ac:dyDescent="0.35">
      <c r="A30" s="36"/>
      <c r="B30" s="36" t="s">
        <v>349</v>
      </c>
      <c r="C30" s="39" t="s">
        <v>832</v>
      </c>
      <c r="F30" s="37"/>
      <c r="G30" s="36"/>
      <c r="J30" s="62"/>
      <c r="M30" s="36"/>
      <c r="Q30" s="37"/>
      <c r="R30" s="36"/>
    </row>
    <row r="31" spans="1:18" x14ac:dyDescent="0.35">
      <c r="A31" s="36"/>
      <c r="B31" s="36"/>
      <c r="D31" s="36">
        <v>2723</v>
      </c>
      <c r="E31" s="62">
        <v>367.32</v>
      </c>
      <c r="F31" s="37"/>
      <c r="G31" s="36"/>
      <c r="J31" s="62"/>
      <c r="M31" s="36"/>
      <c r="Q31" s="37"/>
      <c r="R31" s="36"/>
    </row>
    <row r="32" spans="1:18" x14ac:dyDescent="0.35">
      <c r="A32" s="36"/>
      <c r="B32" s="36"/>
      <c r="D32" s="36">
        <v>2724</v>
      </c>
      <c r="E32" s="62">
        <v>3411.89</v>
      </c>
      <c r="F32" s="37"/>
      <c r="G32" s="36"/>
    </row>
    <row r="33" spans="1:7" x14ac:dyDescent="0.35">
      <c r="A33" s="36"/>
      <c r="B33" s="36"/>
      <c r="D33" s="36">
        <v>2725</v>
      </c>
      <c r="E33" s="62">
        <v>797.54</v>
      </c>
      <c r="F33" s="37"/>
      <c r="G33" s="36"/>
    </row>
    <row r="34" spans="1:7" x14ac:dyDescent="0.35">
      <c r="A34" s="36"/>
      <c r="B34" s="36"/>
      <c r="C34" s="39"/>
      <c r="D34" s="36">
        <v>2726</v>
      </c>
      <c r="E34" s="62">
        <v>44.34</v>
      </c>
      <c r="F34" s="37"/>
      <c r="G34" s="36"/>
    </row>
    <row r="35" spans="1:7" x14ac:dyDescent="0.35">
      <c r="A35" s="36"/>
      <c r="B35" s="36"/>
      <c r="C35" s="39"/>
      <c r="D35" s="36">
        <v>2728</v>
      </c>
      <c r="E35" s="62">
        <v>144</v>
      </c>
      <c r="F35" s="37"/>
      <c r="G35" s="36"/>
    </row>
    <row r="36" spans="1:7" x14ac:dyDescent="0.35">
      <c r="A36" s="36"/>
      <c r="B36" s="36"/>
      <c r="C36" s="39"/>
      <c r="D36" s="79"/>
      <c r="E36" s="1087"/>
      <c r="F36" s="37"/>
      <c r="G36" s="36"/>
    </row>
    <row r="37" spans="1:7" x14ac:dyDescent="0.35">
      <c r="A37" s="36"/>
      <c r="B37" s="36"/>
      <c r="C37" s="36"/>
      <c r="D37" s="36"/>
      <c r="E37" s="62"/>
      <c r="F37" s="37">
        <f>SUM(E31:E36)</f>
        <v>4765.09</v>
      </c>
      <c r="G37" s="36"/>
    </row>
    <row r="38" spans="1:7" x14ac:dyDescent="0.35">
      <c r="A38" s="36"/>
      <c r="B38" s="36"/>
      <c r="C38" s="36"/>
      <c r="D38" s="36"/>
      <c r="E38" s="37"/>
      <c r="F38" s="36"/>
      <c r="G38" s="36"/>
    </row>
    <row r="39" spans="1:7" x14ac:dyDescent="0.35">
      <c r="A39" s="36"/>
      <c r="B39" s="36" t="s">
        <v>350</v>
      </c>
      <c r="C39" s="36"/>
      <c r="D39" s="36"/>
      <c r="E39" s="36"/>
      <c r="F39" s="37">
        <v>0</v>
      </c>
      <c r="G39" s="36"/>
    </row>
    <row r="40" spans="1:7" x14ac:dyDescent="0.35">
      <c r="A40" s="36"/>
      <c r="B40" s="36"/>
      <c r="C40" s="36"/>
      <c r="D40" s="36"/>
      <c r="E40" s="37"/>
      <c r="F40" s="36"/>
      <c r="G40" s="36"/>
    </row>
    <row r="41" spans="1:7" ht="15" thickBot="1" x14ac:dyDescent="0.4">
      <c r="A41" s="36"/>
      <c r="B41" s="63" t="s">
        <v>96</v>
      </c>
      <c r="C41" s="36"/>
      <c r="D41" s="36"/>
      <c r="E41" s="36"/>
      <c r="F41" s="64">
        <f>SUM(F25:F28)-F37+F39</f>
        <v>500451.17999999993</v>
      </c>
      <c r="G41" s="36"/>
    </row>
    <row r="42" spans="1:7" ht="15" thickTop="1" x14ac:dyDescent="0.35">
      <c r="A42" s="36"/>
      <c r="B42" s="36"/>
      <c r="C42" s="36"/>
      <c r="D42" s="36"/>
      <c r="E42" s="36"/>
      <c r="F42" s="36"/>
      <c r="G42" s="36"/>
    </row>
    <row r="43" spans="1:7" x14ac:dyDescent="0.35">
      <c r="A43" s="36"/>
      <c r="B43" s="36"/>
      <c r="C43" s="36"/>
      <c r="D43" s="36"/>
      <c r="E43" s="36"/>
      <c r="F43" s="36"/>
      <c r="G43" s="36"/>
    </row>
    <row r="44" spans="1:7" x14ac:dyDescent="0.35">
      <c r="A44" s="36"/>
      <c r="B44" s="36"/>
      <c r="C44" s="36"/>
      <c r="D44" s="36"/>
      <c r="E44" s="36"/>
      <c r="F44" s="36"/>
      <c r="G44" s="36"/>
    </row>
  </sheetData>
  <mergeCells count="1">
    <mergeCell ref="A3:G3"/>
  </mergeCells>
  <pageMargins left="0.70866141732283472" right="0.70866141732283472" top="0.74803149606299213" bottom="0.74803149606299213" header="0.31496062992125984" footer="0.31496062992125984"/>
  <pageSetup paperSize="9" scale="85" orientation="portrait" r:id="rId1"/>
  <headerFooter>
    <oddHeader xml:space="preserve">&amp;CBarwick and Stoford Parish Council
</oddHeader>
    <oddFooter>&amp;C&amp;P /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CC810-8E04-4B41-B2C9-0A13B9FF91DA}">
  <sheetPr>
    <pageSetUpPr fitToPage="1"/>
  </sheetPr>
  <dimension ref="A1:Y150"/>
  <sheetViews>
    <sheetView workbookViewId="0">
      <selection activeCell="F15" sqref="F15"/>
    </sheetView>
  </sheetViews>
  <sheetFormatPr defaultColWidth="9.1796875" defaultRowHeight="14.5" x14ac:dyDescent="0.35"/>
  <cols>
    <col min="1" max="1" width="9.81640625" style="550" bestFit="1" customWidth="1"/>
    <col min="2" max="2" width="9.90625" style="552" bestFit="1" customWidth="1"/>
    <col min="3" max="3" width="4.81640625" style="550" bestFit="1" customWidth="1"/>
    <col min="4" max="4" width="27.26953125" style="552" customWidth="1"/>
    <col min="5" max="5" width="30.08984375" style="552" customWidth="1"/>
    <col min="6" max="6" width="4.81640625" style="550" bestFit="1" customWidth="1"/>
    <col min="7" max="7" width="10.453125" style="553" bestFit="1" customWidth="1"/>
    <col min="8" max="8" width="7.26953125" style="555" bestFit="1" customWidth="1"/>
    <col min="9" max="9" width="7.36328125" style="552" customWidth="1"/>
    <col min="10" max="10" width="6.453125" style="552" customWidth="1"/>
    <col min="11" max="11" width="7.7265625" style="552" bestFit="1" customWidth="1"/>
    <col min="12" max="12" width="6.08984375" style="554" bestFit="1" customWidth="1"/>
    <col min="13" max="13" width="6.26953125" style="552" customWidth="1"/>
    <col min="14" max="14" width="7.26953125" style="552" bestFit="1" customWidth="1"/>
    <col min="15" max="15" width="7.26953125" style="552" customWidth="1"/>
    <col min="16" max="16" width="6.08984375" style="552" bestFit="1" customWidth="1"/>
    <col min="17" max="17" width="9.453125" style="552" bestFit="1" customWidth="1"/>
    <col min="18" max="18" width="9.08984375" style="554" bestFit="1" customWidth="1"/>
    <col min="19" max="19" width="7.08984375" style="552" customWidth="1"/>
    <col min="20" max="20" width="6.08984375" style="554" bestFit="1" customWidth="1"/>
    <col min="21" max="21" width="7.26953125" style="554" bestFit="1" customWidth="1"/>
    <col min="22" max="22" width="6.08984375" style="554" bestFit="1" customWidth="1"/>
    <col min="23" max="23" width="13.7265625" style="552" customWidth="1"/>
    <col min="24" max="236" width="5.54296875" style="552" customWidth="1"/>
    <col min="237" max="16384" width="9.1796875" style="552"/>
  </cols>
  <sheetData>
    <row r="1" spans="1:23" ht="15.5" x14ac:dyDescent="0.35">
      <c r="B1" s="34"/>
      <c r="C1" s="551"/>
      <c r="D1" s="34"/>
    </row>
    <row r="2" spans="1:23" ht="15.5" x14ac:dyDescent="0.35">
      <c r="B2" s="34"/>
      <c r="C2" s="551"/>
      <c r="D2" s="34"/>
    </row>
    <row r="3" spans="1:23" ht="15.5" x14ac:dyDescent="0.35">
      <c r="B3" s="34"/>
      <c r="C3" s="551"/>
      <c r="D3" s="34"/>
      <c r="E3"/>
      <c r="P3" s="1409"/>
      <c r="Q3" s="1409"/>
      <c r="R3" s="550"/>
      <c r="T3" s="550"/>
      <c r="U3" s="550"/>
      <c r="V3" s="550"/>
    </row>
    <row r="4" spans="1:23" ht="15" thickBot="1" x14ac:dyDescent="0.4">
      <c r="H4" s="558"/>
      <c r="I4" s="553"/>
      <c r="J4" s="553"/>
      <c r="K4" s="559"/>
      <c r="L4" s="557"/>
      <c r="M4" s="553"/>
      <c r="N4" s="559"/>
      <c r="O4" s="559"/>
      <c r="P4" s="560"/>
      <c r="Q4" s="561"/>
      <c r="R4" s="562"/>
      <c r="S4" s="559"/>
      <c r="T4" s="562"/>
      <c r="U4" s="562"/>
      <c r="V4" s="562"/>
    </row>
    <row r="5" spans="1:23" ht="33.75" customHeight="1" x14ac:dyDescent="0.35">
      <c r="A5" s="1236" t="s">
        <v>291</v>
      </c>
      <c r="B5" s="564" t="s">
        <v>53</v>
      </c>
      <c r="C5" s="565" t="s">
        <v>54</v>
      </c>
      <c r="D5" s="566" t="s">
        <v>55</v>
      </c>
      <c r="E5" s="566" t="s">
        <v>56</v>
      </c>
      <c r="F5" s="567" t="s">
        <v>103</v>
      </c>
      <c r="G5" s="568" t="s">
        <v>79</v>
      </c>
      <c r="H5" s="571" t="s">
        <v>58</v>
      </c>
      <c r="I5" s="573" t="s">
        <v>752</v>
      </c>
      <c r="J5" s="573" t="s">
        <v>755</v>
      </c>
      <c r="K5" s="573" t="s">
        <v>60</v>
      </c>
      <c r="L5" s="574" t="s">
        <v>61</v>
      </c>
      <c r="M5" s="573" t="s">
        <v>1160</v>
      </c>
      <c r="N5" s="573" t="s">
        <v>64</v>
      </c>
      <c r="O5" s="573" t="s">
        <v>1161</v>
      </c>
      <c r="P5" s="572" t="s">
        <v>1162</v>
      </c>
      <c r="Q5" s="573" t="s">
        <v>134</v>
      </c>
      <c r="R5" s="576" t="s">
        <v>244</v>
      </c>
      <c r="S5" s="573" t="s">
        <v>320</v>
      </c>
      <c r="T5" s="576" t="s">
        <v>84</v>
      </c>
      <c r="U5" s="576" t="s">
        <v>297</v>
      </c>
      <c r="V5" s="576" t="s">
        <v>1163</v>
      </c>
      <c r="W5" s="550"/>
    </row>
    <row r="6" spans="1:23" x14ac:dyDescent="0.35">
      <c r="A6" s="550">
        <v>811160289</v>
      </c>
      <c r="B6" s="583">
        <v>45462</v>
      </c>
      <c r="C6" s="584">
        <v>2658</v>
      </c>
      <c r="D6" s="35" t="s">
        <v>871</v>
      </c>
      <c r="E6" s="35" t="s">
        <v>860</v>
      </c>
      <c r="F6" s="550" t="s">
        <v>838</v>
      </c>
      <c r="G6" s="563">
        <v>5</v>
      </c>
      <c r="H6" s="580">
        <v>0.83</v>
      </c>
      <c r="I6" s="580"/>
      <c r="J6" s="580">
        <v>4.17</v>
      </c>
      <c r="K6" s="563"/>
      <c r="L6" s="581"/>
      <c r="M6" s="580"/>
      <c r="N6" s="580"/>
      <c r="O6" s="580"/>
      <c r="P6" s="581"/>
      <c r="Q6" s="580"/>
      <c r="R6" s="580"/>
      <c r="S6" s="580"/>
      <c r="T6" s="580"/>
      <c r="U6" s="580"/>
      <c r="V6" s="580"/>
      <c r="W6" s="559"/>
    </row>
    <row r="7" spans="1:23" x14ac:dyDescent="0.35">
      <c r="A7" s="550">
        <v>358672751</v>
      </c>
      <c r="B7" s="583">
        <v>45483</v>
      </c>
      <c r="C7" s="584" t="s">
        <v>810</v>
      </c>
      <c r="D7" s="35" t="s">
        <v>807</v>
      </c>
      <c r="E7" s="35" t="s">
        <v>909</v>
      </c>
      <c r="F7" s="550" t="s">
        <v>910</v>
      </c>
      <c r="G7" s="563">
        <v>24.26</v>
      </c>
      <c r="H7" s="580">
        <v>1.1599999999999999</v>
      </c>
      <c r="I7" s="580"/>
      <c r="J7" s="580"/>
      <c r="K7" s="563"/>
      <c r="L7" s="581"/>
      <c r="M7" s="580"/>
      <c r="N7" s="580"/>
      <c r="O7" s="580"/>
      <c r="P7" s="581">
        <v>23.1</v>
      </c>
      <c r="Q7" s="580"/>
      <c r="R7" s="580"/>
      <c r="S7" s="580"/>
      <c r="T7" s="580"/>
      <c r="U7" s="580"/>
      <c r="V7" s="580"/>
      <c r="W7" s="559"/>
    </row>
    <row r="8" spans="1:23" x14ac:dyDescent="0.35">
      <c r="A8" s="550">
        <v>358672751</v>
      </c>
      <c r="B8" s="583">
        <v>45512</v>
      </c>
      <c r="C8" s="584" t="s">
        <v>810</v>
      </c>
      <c r="D8" s="35" t="s">
        <v>807</v>
      </c>
      <c r="E8" s="35" t="s">
        <v>917</v>
      </c>
      <c r="F8" s="550" t="s">
        <v>918</v>
      </c>
      <c r="G8" s="563">
        <v>26.66</v>
      </c>
      <c r="H8" s="580">
        <v>1.27</v>
      </c>
      <c r="I8" s="580"/>
      <c r="J8" s="580"/>
      <c r="K8" s="563"/>
      <c r="L8" s="581"/>
      <c r="M8" s="580"/>
      <c r="N8" s="580"/>
      <c r="O8" s="580"/>
      <c r="P8" s="581">
        <v>25.39</v>
      </c>
      <c r="Q8" s="580"/>
      <c r="R8" s="580"/>
      <c r="S8" s="580"/>
      <c r="T8" s="580"/>
      <c r="U8" s="580"/>
      <c r="V8" s="580"/>
      <c r="W8" s="559"/>
    </row>
    <row r="9" spans="1:23" x14ac:dyDescent="0.35">
      <c r="A9" s="550">
        <v>220430231</v>
      </c>
      <c r="B9" s="583">
        <v>45399</v>
      </c>
      <c r="C9" s="584">
        <v>2647</v>
      </c>
      <c r="D9" s="35" t="s">
        <v>868</v>
      </c>
      <c r="E9" s="35" t="s">
        <v>795</v>
      </c>
      <c r="F9" s="550" t="s">
        <v>794</v>
      </c>
      <c r="G9" s="607">
        <v>33.700000000000003</v>
      </c>
      <c r="H9" s="580">
        <v>1.28</v>
      </c>
      <c r="I9" s="580">
        <v>26</v>
      </c>
      <c r="J9" s="580"/>
      <c r="K9" s="563">
        <v>6.42</v>
      </c>
      <c r="L9" s="581"/>
      <c r="M9" s="580"/>
      <c r="N9" s="580"/>
      <c r="O9" s="580"/>
      <c r="P9" s="581"/>
      <c r="Q9" s="580"/>
      <c r="R9" s="580"/>
      <c r="S9" s="580"/>
      <c r="T9" s="580"/>
      <c r="U9" s="580"/>
      <c r="V9" s="580"/>
      <c r="W9" s="559"/>
    </row>
    <row r="10" spans="1:23" x14ac:dyDescent="0.35">
      <c r="A10" s="550">
        <v>220430231</v>
      </c>
      <c r="B10" s="583">
        <v>45462</v>
      </c>
      <c r="C10" s="584">
        <v>2658</v>
      </c>
      <c r="D10" s="35" t="s">
        <v>868</v>
      </c>
      <c r="E10" s="35" t="s">
        <v>841</v>
      </c>
      <c r="F10" s="550" t="s">
        <v>838</v>
      </c>
      <c r="G10" s="563">
        <v>8.5</v>
      </c>
      <c r="H10" s="580">
        <v>1.42</v>
      </c>
      <c r="I10" s="580"/>
      <c r="J10" s="580"/>
      <c r="K10" s="563">
        <v>7.08</v>
      </c>
      <c r="L10" s="581"/>
      <c r="M10" s="580"/>
      <c r="N10" s="580"/>
      <c r="O10" s="580"/>
      <c r="P10" s="581"/>
      <c r="Q10" s="580"/>
      <c r="R10" s="580"/>
      <c r="S10" s="580"/>
      <c r="T10" s="580"/>
      <c r="U10" s="580"/>
      <c r="V10" s="580"/>
      <c r="W10" s="559"/>
    </row>
    <row r="11" spans="1:23" x14ac:dyDescent="0.35">
      <c r="A11" s="550">
        <v>185473729</v>
      </c>
      <c r="B11" s="583">
        <v>45560</v>
      </c>
      <c r="C11" s="584">
        <v>2678</v>
      </c>
      <c r="D11" s="35" t="s">
        <v>1152</v>
      </c>
      <c r="E11" s="35" t="s">
        <v>925</v>
      </c>
      <c r="F11" s="550" t="s">
        <v>923</v>
      </c>
      <c r="G11" s="563">
        <v>12.5</v>
      </c>
      <c r="H11" s="580">
        <v>2.08</v>
      </c>
      <c r="I11" s="580"/>
      <c r="J11" s="580"/>
      <c r="K11" s="563">
        <v>10.42</v>
      </c>
      <c r="L11" s="581"/>
      <c r="M11" s="580"/>
      <c r="N11" s="580"/>
      <c r="O11" s="580"/>
      <c r="P11" s="581"/>
      <c r="Q11" s="580"/>
      <c r="R11" s="580"/>
      <c r="S11" s="580"/>
      <c r="T11" s="580"/>
      <c r="U11" s="580"/>
      <c r="V11" s="580"/>
      <c r="W11" s="559"/>
    </row>
    <row r="12" spans="1:23" x14ac:dyDescent="0.35">
      <c r="A12" s="550">
        <v>220430231</v>
      </c>
      <c r="B12" s="583">
        <v>45588</v>
      </c>
      <c r="C12" s="584">
        <v>2687</v>
      </c>
      <c r="D12" s="35" t="s">
        <v>868</v>
      </c>
      <c r="E12" s="35" t="s">
        <v>951</v>
      </c>
      <c r="F12" s="550" t="s">
        <v>949</v>
      </c>
      <c r="G12" s="563">
        <v>16.5</v>
      </c>
      <c r="H12" s="580">
        <v>2.75</v>
      </c>
      <c r="I12" s="580"/>
      <c r="J12" s="580">
        <v>13.75</v>
      </c>
      <c r="K12" s="563"/>
      <c r="L12" s="581"/>
      <c r="M12" s="580"/>
      <c r="N12" s="580"/>
      <c r="O12" s="580"/>
      <c r="P12" s="581"/>
      <c r="Q12" s="580"/>
      <c r="R12" s="580"/>
      <c r="S12" s="580"/>
      <c r="T12" s="580"/>
      <c r="U12" s="580"/>
      <c r="V12" s="580"/>
      <c r="W12" s="559"/>
    </row>
    <row r="13" spans="1:23" x14ac:dyDescent="0.35">
      <c r="A13" s="550">
        <v>811160289</v>
      </c>
      <c r="B13" s="583">
        <v>45560</v>
      </c>
      <c r="C13" s="584">
        <v>2678</v>
      </c>
      <c r="D13" s="35" t="s">
        <v>871</v>
      </c>
      <c r="E13" s="35" t="s">
        <v>926</v>
      </c>
      <c r="F13" s="550" t="s">
        <v>923</v>
      </c>
      <c r="G13" s="563">
        <v>21</v>
      </c>
      <c r="H13" s="580">
        <v>3.5</v>
      </c>
      <c r="I13" s="580"/>
      <c r="J13" s="580">
        <v>17.5</v>
      </c>
      <c r="K13" s="563"/>
      <c r="L13" s="581"/>
      <c r="M13" s="580"/>
      <c r="N13" s="580"/>
      <c r="O13" s="580"/>
      <c r="P13" s="581"/>
      <c r="Q13" s="580"/>
      <c r="R13" s="580"/>
      <c r="S13" s="580"/>
      <c r="T13" s="580"/>
      <c r="U13" s="580"/>
      <c r="V13" s="580"/>
      <c r="W13" s="559"/>
    </row>
    <row r="14" spans="1:23" x14ac:dyDescent="0.35">
      <c r="A14" s="550">
        <v>220430231</v>
      </c>
      <c r="B14" s="583">
        <v>45672</v>
      </c>
      <c r="C14" s="584">
        <v>2707</v>
      </c>
      <c r="D14" s="35" t="s">
        <v>868</v>
      </c>
      <c r="E14" s="35" t="s">
        <v>1056</v>
      </c>
      <c r="F14" s="1" t="s">
        <v>1089</v>
      </c>
      <c r="G14" s="563">
        <v>35.6</v>
      </c>
      <c r="H14" s="580">
        <v>3.67</v>
      </c>
      <c r="I14" s="580"/>
      <c r="J14" s="580"/>
      <c r="K14" s="563">
        <v>31.93</v>
      </c>
      <c r="L14" s="581"/>
      <c r="M14" s="580"/>
      <c r="N14" s="580"/>
      <c r="O14" s="580"/>
      <c r="P14" s="581"/>
      <c r="Q14" s="580"/>
      <c r="R14" s="580"/>
      <c r="S14" s="580"/>
      <c r="T14" s="580"/>
      <c r="U14" s="580"/>
      <c r="V14" s="580"/>
      <c r="W14" s="559"/>
    </row>
    <row r="15" spans="1:23" x14ac:dyDescent="0.35">
      <c r="A15" s="550">
        <v>358672751</v>
      </c>
      <c r="B15" s="583">
        <v>45634</v>
      </c>
      <c r="C15" s="584" t="s">
        <v>810</v>
      </c>
      <c r="D15" s="35" t="s">
        <v>807</v>
      </c>
      <c r="E15" s="35" t="s">
        <v>1053</v>
      </c>
      <c r="F15" s="1" t="s">
        <v>1088</v>
      </c>
      <c r="G15" s="563">
        <v>181.08</v>
      </c>
      <c r="H15" s="580">
        <v>8.6199999999999992</v>
      </c>
      <c r="I15" s="580"/>
      <c r="J15" s="580"/>
      <c r="K15" s="563"/>
      <c r="L15" s="581"/>
      <c r="M15" s="580"/>
      <c r="N15" s="580"/>
      <c r="O15" s="580"/>
      <c r="P15" s="581">
        <v>172.46</v>
      </c>
      <c r="Q15" s="580"/>
      <c r="R15" s="580"/>
      <c r="S15" s="580"/>
      <c r="T15" s="580"/>
      <c r="U15" s="580"/>
      <c r="V15" s="580"/>
      <c r="W15" s="559"/>
    </row>
    <row r="16" spans="1:23" x14ac:dyDescent="0.35">
      <c r="A16" s="550">
        <v>240800405</v>
      </c>
      <c r="B16" s="583">
        <v>45616</v>
      </c>
      <c r="C16" s="584">
        <v>2694</v>
      </c>
      <c r="D16" s="35" t="s">
        <v>1158</v>
      </c>
      <c r="E16" s="35" t="s">
        <v>982</v>
      </c>
      <c r="F16" s="1" t="s">
        <v>981</v>
      </c>
      <c r="G16" s="563">
        <v>127.5</v>
      </c>
      <c r="H16" s="580">
        <v>8.75</v>
      </c>
      <c r="I16" s="580"/>
      <c r="J16" s="580"/>
      <c r="K16" s="563"/>
      <c r="L16" s="581"/>
      <c r="M16" s="580"/>
      <c r="N16" s="580"/>
      <c r="O16" s="580"/>
      <c r="P16" s="581"/>
      <c r="Q16" s="580"/>
      <c r="R16" s="580"/>
      <c r="S16" s="580"/>
      <c r="T16" s="580">
        <v>118.75</v>
      </c>
      <c r="U16" s="580"/>
      <c r="V16" s="580"/>
      <c r="W16" s="559"/>
    </row>
    <row r="17" spans="1:23" x14ac:dyDescent="0.35">
      <c r="A17" s="550">
        <v>232555575</v>
      </c>
      <c r="B17" s="583">
        <v>45462</v>
      </c>
      <c r="C17" s="584">
        <v>2658</v>
      </c>
      <c r="D17" s="35" t="s">
        <v>869</v>
      </c>
      <c r="E17" s="35" t="s">
        <v>856</v>
      </c>
      <c r="F17" s="550" t="s">
        <v>838</v>
      </c>
      <c r="G17" s="563">
        <v>64.790000000000006</v>
      </c>
      <c r="H17" s="580">
        <v>10.8</v>
      </c>
      <c r="I17" s="580"/>
      <c r="J17" s="580"/>
      <c r="K17" s="563"/>
      <c r="L17" s="581"/>
      <c r="M17" s="580"/>
      <c r="N17" s="580"/>
      <c r="O17" s="580">
        <v>53.99</v>
      </c>
      <c r="P17" s="581"/>
      <c r="Q17" s="580"/>
      <c r="R17" s="580"/>
      <c r="S17" s="580"/>
      <c r="T17" s="580"/>
      <c r="U17" s="580"/>
      <c r="V17" s="580"/>
      <c r="W17" s="559"/>
    </row>
    <row r="18" spans="1:23" x14ac:dyDescent="0.35">
      <c r="A18" s="550">
        <v>207403052</v>
      </c>
      <c r="B18" s="583">
        <v>45735</v>
      </c>
      <c r="C18" s="584">
        <v>2721</v>
      </c>
      <c r="D18" s="35" t="s">
        <v>1153</v>
      </c>
      <c r="E18" s="35" t="s">
        <v>1107</v>
      </c>
      <c r="F18" s="1" t="s">
        <v>1105</v>
      </c>
      <c r="G18" s="563">
        <v>363</v>
      </c>
      <c r="H18" s="580">
        <v>11.67</v>
      </c>
      <c r="I18" s="580"/>
      <c r="J18" s="580"/>
      <c r="K18" s="563"/>
      <c r="L18" s="581">
        <v>351.33</v>
      </c>
      <c r="M18" s="580"/>
      <c r="N18" s="580"/>
      <c r="O18" s="580"/>
      <c r="P18" s="581"/>
      <c r="Q18" s="580"/>
      <c r="R18" s="580"/>
      <c r="S18" s="580"/>
      <c r="T18" s="580"/>
      <c r="U18" s="580"/>
      <c r="V18" s="580"/>
      <c r="W18" s="559"/>
    </row>
    <row r="19" spans="1:23" x14ac:dyDescent="0.35">
      <c r="A19" s="550">
        <v>845184023</v>
      </c>
      <c r="B19" s="583">
        <v>45560</v>
      </c>
      <c r="C19" s="584">
        <v>2681</v>
      </c>
      <c r="D19" s="35" t="s">
        <v>934</v>
      </c>
      <c r="E19" s="35" t="s">
        <v>935</v>
      </c>
      <c r="F19" s="550" t="s">
        <v>933</v>
      </c>
      <c r="G19" s="563">
        <v>90</v>
      </c>
      <c r="H19" s="580">
        <v>15</v>
      </c>
      <c r="I19" s="580"/>
      <c r="J19" s="580"/>
      <c r="K19" s="563"/>
      <c r="L19" s="581"/>
      <c r="M19" s="580"/>
      <c r="N19" s="580"/>
      <c r="O19" s="580"/>
      <c r="P19" s="581"/>
      <c r="Q19" s="580">
        <v>75</v>
      </c>
      <c r="R19" s="580"/>
      <c r="S19" s="580"/>
      <c r="T19" s="580"/>
      <c r="U19" s="580"/>
      <c r="V19" s="580"/>
      <c r="W19" s="559"/>
    </row>
    <row r="20" spans="1:23" x14ac:dyDescent="0.35">
      <c r="A20" s="550">
        <v>131254412</v>
      </c>
      <c r="B20" s="583">
        <v>45672</v>
      </c>
      <c r="C20" s="584">
        <v>2714</v>
      </c>
      <c r="D20" s="35" t="s">
        <v>829</v>
      </c>
      <c r="E20" s="35" t="s">
        <v>1069</v>
      </c>
      <c r="F20" s="1" t="s">
        <v>1097</v>
      </c>
      <c r="G20" s="563">
        <v>95.4</v>
      </c>
      <c r="H20" s="580">
        <v>15.9</v>
      </c>
      <c r="I20" s="580"/>
      <c r="J20" s="580"/>
      <c r="K20" s="563"/>
      <c r="L20" s="581"/>
      <c r="M20" s="580"/>
      <c r="N20" s="580"/>
      <c r="O20" s="580"/>
      <c r="P20" s="581"/>
      <c r="Q20" s="580">
        <v>79.5</v>
      </c>
      <c r="R20" s="580"/>
      <c r="S20" s="580"/>
      <c r="T20" s="580"/>
      <c r="U20" s="580"/>
      <c r="V20" s="580"/>
      <c r="W20" s="559"/>
    </row>
    <row r="21" spans="1:23" x14ac:dyDescent="0.35">
      <c r="A21" s="550">
        <v>220430231</v>
      </c>
      <c r="B21" s="583">
        <v>45462</v>
      </c>
      <c r="C21" s="584">
        <v>2661</v>
      </c>
      <c r="D21" s="35" t="s">
        <v>1154</v>
      </c>
      <c r="E21" s="35" t="s">
        <v>849</v>
      </c>
      <c r="F21" s="550" t="s">
        <v>850</v>
      </c>
      <c r="G21" s="563">
        <v>143.44999999999999</v>
      </c>
      <c r="H21" s="580">
        <v>16.98</v>
      </c>
      <c r="I21" s="580"/>
      <c r="J21" s="580"/>
      <c r="K21" s="563"/>
      <c r="L21" s="581"/>
      <c r="M21" s="580"/>
      <c r="N21" s="580"/>
      <c r="O21" s="580"/>
      <c r="P21" s="581"/>
      <c r="Q21" s="580"/>
      <c r="R21" s="580">
        <v>126.47</v>
      </c>
      <c r="S21" s="580"/>
      <c r="T21" s="580"/>
      <c r="U21" s="580"/>
      <c r="V21" s="580"/>
      <c r="W21" s="559"/>
    </row>
    <row r="22" spans="1:23" x14ac:dyDescent="0.35">
      <c r="A22" s="550">
        <v>297094655</v>
      </c>
      <c r="B22" s="583">
        <v>45427</v>
      </c>
      <c r="C22" s="584">
        <v>2656</v>
      </c>
      <c r="D22" s="35" t="s">
        <v>822</v>
      </c>
      <c r="E22" s="35" t="s">
        <v>823</v>
      </c>
      <c r="F22" s="550" t="s">
        <v>824</v>
      </c>
      <c r="G22" s="607">
        <v>103.94</v>
      </c>
      <c r="H22" s="580">
        <v>17.32</v>
      </c>
      <c r="I22" s="580"/>
      <c r="J22" s="580"/>
      <c r="K22" s="563"/>
      <c r="L22" s="581"/>
      <c r="M22" s="580"/>
      <c r="N22" s="580"/>
      <c r="O22" s="580"/>
      <c r="P22" s="581"/>
      <c r="Q22" s="580"/>
      <c r="R22" s="580"/>
      <c r="S22" s="580"/>
      <c r="T22" s="580"/>
      <c r="U22" s="580">
        <v>86.62</v>
      </c>
      <c r="V22" s="580"/>
      <c r="W22" s="559"/>
    </row>
    <row r="23" spans="1:23" x14ac:dyDescent="0.35">
      <c r="A23" s="550">
        <v>888115002</v>
      </c>
      <c r="B23" s="583">
        <v>45462</v>
      </c>
      <c r="C23" s="584">
        <v>2658</v>
      </c>
      <c r="D23" s="35" t="s">
        <v>1155</v>
      </c>
      <c r="E23" s="35" t="s">
        <v>842</v>
      </c>
      <c r="F23" s="550" t="s">
        <v>838</v>
      </c>
      <c r="G23" s="563">
        <v>123.9</v>
      </c>
      <c r="H23" s="580">
        <v>20.65</v>
      </c>
      <c r="I23" s="580"/>
      <c r="J23" s="580"/>
      <c r="K23" s="563"/>
      <c r="L23" s="581"/>
      <c r="M23" s="580"/>
      <c r="N23" s="580"/>
      <c r="O23" s="580"/>
      <c r="P23" s="581"/>
      <c r="Q23" s="580"/>
      <c r="R23" s="580"/>
      <c r="S23" s="580">
        <v>103.25</v>
      </c>
      <c r="T23" s="580"/>
      <c r="U23" s="580"/>
      <c r="V23" s="580"/>
      <c r="W23" s="559"/>
    </row>
    <row r="24" spans="1:23" x14ac:dyDescent="0.35">
      <c r="A24" s="550">
        <v>211502667</v>
      </c>
      <c r="B24" s="583">
        <v>45560</v>
      </c>
      <c r="C24" s="584">
        <v>2678</v>
      </c>
      <c r="D24" s="35" t="s">
        <v>1156</v>
      </c>
      <c r="E24" s="35" t="s">
        <v>927</v>
      </c>
      <c r="F24" s="550" t="s">
        <v>923</v>
      </c>
      <c r="G24" s="563">
        <v>134.4</v>
      </c>
      <c r="H24" s="580">
        <v>22.4</v>
      </c>
      <c r="I24" s="580"/>
      <c r="J24" s="580"/>
      <c r="K24" s="563"/>
      <c r="L24" s="581"/>
      <c r="M24" s="580"/>
      <c r="N24" s="580"/>
      <c r="O24" s="580"/>
      <c r="P24" s="581"/>
      <c r="Q24" s="580"/>
      <c r="R24" s="580"/>
      <c r="S24" s="580"/>
      <c r="T24" s="580"/>
      <c r="U24" s="580"/>
      <c r="V24" s="580">
        <v>112</v>
      </c>
      <c r="W24" s="559"/>
    </row>
    <row r="25" spans="1:23" x14ac:dyDescent="0.35">
      <c r="A25" s="550">
        <v>925299103</v>
      </c>
      <c r="B25" s="583">
        <v>45735</v>
      </c>
      <c r="C25" s="584">
        <v>2728</v>
      </c>
      <c r="D25" s="35" t="s">
        <v>1159</v>
      </c>
      <c r="E25" s="35" t="s">
        <v>1133</v>
      </c>
      <c r="F25" s="1" t="s">
        <v>1130</v>
      </c>
      <c r="G25" s="563">
        <v>144</v>
      </c>
      <c r="H25" s="580">
        <v>24</v>
      </c>
      <c r="I25" s="580"/>
      <c r="J25" s="580"/>
      <c r="K25" s="563"/>
      <c r="L25" s="581"/>
      <c r="M25" s="580"/>
      <c r="N25" s="580"/>
      <c r="O25" s="580">
        <v>120</v>
      </c>
      <c r="P25" s="581"/>
      <c r="Q25" s="580"/>
      <c r="R25" s="580"/>
      <c r="S25" s="580"/>
      <c r="T25" s="580"/>
      <c r="U25" s="580"/>
      <c r="V25" s="580"/>
      <c r="W25" s="559"/>
    </row>
    <row r="26" spans="1:23" x14ac:dyDescent="0.35">
      <c r="A26" s="550">
        <v>319503314</v>
      </c>
      <c r="B26" s="583">
        <v>45672</v>
      </c>
      <c r="C26" s="584">
        <v>2711</v>
      </c>
      <c r="D26" s="35" t="s">
        <v>1060</v>
      </c>
      <c r="E26" s="35" t="s">
        <v>1061</v>
      </c>
      <c r="F26" s="1" t="s">
        <v>1093</v>
      </c>
      <c r="G26" s="563">
        <v>216</v>
      </c>
      <c r="H26" s="580">
        <v>36</v>
      </c>
      <c r="I26" s="580"/>
      <c r="J26" s="580"/>
      <c r="K26" s="563"/>
      <c r="L26" s="581"/>
      <c r="M26" s="580"/>
      <c r="N26" s="580"/>
      <c r="O26" s="580"/>
      <c r="P26" s="581"/>
      <c r="Q26" s="580">
        <v>180</v>
      </c>
      <c r="R26" s="580"/>
      <c r="S26" s="580"/>
      <c r="T26" s="580"/>
      <c r="U26" s="580"/>
      <c r="V26" s="580"/>
      <c r="W26" s="559"/>
    </row>
    <row r="27" spans="1:23" x14ac:dyDescent="0.35">
      <c r="A27" s="550">
        <v>440498250</v>
      </c>
      <c r="B27" s="583">
        <v>45616</v>
      </c>
      <c r="C27" s="584">
        <v>2705</v>
      </c>
      <c r="D27" s="35" t="s">
        <v>937</v>
      </c>
      <c r="E27" s="35" t="s">
        <v>1014</v>
      </c>
      <c r="F27" s="550" t="s">
        <v>936</v>
      </c>
      <c r="G27" s="563">
        <v>378</v>
      </c>
      <c r="H27" s="580">
        <v>63</v>
      </c>
      <c r="I27" s="580"/>
      <c r="J27" s="580"/>
      <c r="K27" s="563"/>
      <c r="L27" s="581"/>
      <c r="M27" s="580">
        <v>315</v>
      </c>
      <c r="N27" s="580"/>
      <c r="O27" s="580"/>
      <c r="P27" s="581"/>
      <c r="Q27" s="580"/>
      <c r="R27" s="580"/>
      <c r="S27" s="580"/>
      <c r="T27" s="580"/>
      <c r="U27" s="580"/>
      <c r="V27" s="580"/>
      <c r="W27" s="559"/>
    </row>
    <row r="28" spans="1:23" x14ac:dyDescent="0.35">
      <c r="A28" s="550">
        <v>635823528</v>
      </c>
      <c r="B28" s="583">
        <v>45735</v>
      </c>
      <c r="C28" s="584">
        <v>2721</v>
      </c>
      <c r="D28" s="35" t="s">
        <v>1157</v>
      </c>
      <c r="E28" s="35" t="s">
        <v>1108</v>
      </c>
      <c r="F28" s="1" t="s">
        <v>1105</v>
      </c>
      <c r="G28" s="563">
        <v>752.14</v>
      </c>
      <c r="H28" s="580">
        <v>125.36</v>
      </c>
      <c r="I28" s="580"/>
      <c r="J28" s="580"/>
      <c r="K28" s="563"/>
      <c r="L28" s="581">
        <v>626.78</v>
      </c>
      <c r="M28" s="580"/>
      <c r="N28" s="580"/>
      <c r="O28" s="580"/>
      <c r="P28" s="581"/>
      <c r="Q28" s="580"/>
      <c r="R28" s="580"/>
      <c r="S28" s="580"/>
      <c r="T28" s="580"/>
      <c r="U28" s="580"/>
      <c r="V28" s="580"/>
      <c r="W28" s="559"/>
    </row>
    <row r="29" spans="1:23" x14ac:dyDescent="0.35">
      <c r="A29" s="550">
        <v>131254412</v>
      </c>
      <c r="B29" s="583">
        <v>45483</v>
      </c>
      <c r="C29" s="584">
        <v>2673</v>
      </c>
      <c r="D29" s="35" t="s">
        <v>829</v>
      </c>
      <c r="E29" s="35" t="s">
        <v>907</v>
      </c>
      <c r="F29" s="550" t="s">
        <v>908</v>
      </c>
      <c r="G29" s="563">
        <v>1278.8499999999999</v>
      </c>
      <c r="H29" s="580">
        <v>213.14</v>
      </c>
      <c r="I29" s="580"/>
      <c r="J29" s="580"/>
      <c r="K29" s="563"/>
      <c r="L29" s="581"/>
      <c r="M29" s="580"/>
      <c r="N29" s="580">
        <v>1065.71</v>
      </c>
      <c r="O29" s="580"/>
      <c r="P29" s="581"/>
      <c r="Q29" s="580"/>
      <c r="R29" s="580"/>
      <c r="S29" s="580"/>
      <c r="T29" s="580"/>
      <c r="U29" s="580"/>
      <c r="V29" s="580"/>
      <c r="W29" s="559"/>
    </row>
    <row r="30" spans="1:23" x14ac:dyDescent="0.35">
      <c r="A30" s="550">
        <v>297094655</v>
      </c>
      <c r="B30" s="583">
        <v>45399</v>
      </c>
      <c r="C30" s="584">
        <v>2651</v>
      </c>
      <c r="D30" s="35" t="s">
        <v>804</v>
      </c>
      <c r="E30" s="35" t="s">
        <v>805</v>
      </c>
      <c r="F30" s="550" t="s">
        <v>806</v>
      </c>
      <c r="G30" s="607">
        <v>2747.99</v>
      </c>
      <c r="H30" s="580">
        <v>458</v>
      </c>
      <c r="I30" s="580"/>
      <c r="J30" s="580"/>
      <c r="K30" s="563"/>
      <c r="L30" s="581"/>
      <c r="M30" s="580"/>
      <c r="N30" s="580"/>
      <c r="O30" s="580"/>
      <c r="P30" s="581"/>
      <c r="Q30" s="580"/>
      <c r="R30" s="580"/>
      <c r="S30" s="580"/>
      <c r="T30" s="580"/>
      <c r="U30" s="580">
        <v>2289.9899999999998</v>
      </c>
      <c r="V30" s="580"/>
      <c r="W30" s="559"/>
    </row>
    <row r="31" spans="1:23" x14ac:dyDescent="0.35">
      <c r="A31" s="550">
        <v>131254412</v>
      </c>
      <c r="B31" s="583">
        <v>45735</v>
      </c>
      <c r="C31" s="584">
        <v>2724</v>
      </c>
      <c r="D31" s="35" t="s">
        <v>829</v>
      </c>
      <c r="E31" s="35" t="s">
        <v>1117</v>
      </c>
      <c r="F31" s="1" t="s">
        <v>1113</v>
      </c>
      <c r="G31" s="563">
        <v>3411.89</v>
      </c>
      <c r="H31" s="580">
        <v>568.65</v>
      </c>
      <c r="I31" s="580"/>
      <c r="J31" s="580"/>
      <c r="K31" s="563"/>
      <c r="L31" s="581"/>
      <c r="M31" s="580"/>
      <c r="N31" s="580">
        <v>2843.24</v>
      </c>
      <c r="O31" s="580"/>
      <c r="P31" s="581"/>
      <c r="Q31" s="580"/>
      <c r="R31" s="580"/>
      <c r="S31" s="580"/>
      <c r="T31" s="580"/>
      <c r="U31" s="580"/>
      <c r="V31" s="580"/>
      <c r="W31" s="559"/>
    </row>
    <row r="32" spans="1:23" x14ac:dyDescent="0.35">
      <c r="B32" s="612"/>
      <c r="G32" s="563"/>
      <c r="H32" s="580"/>
      <c r="I32" s="580"/>
      <c r="J32" s="580"/>
      <c r="K32" s="563"/>
      <c r="L32" s="581"/>
      <c r="M32" s="580"/>
      <c r="N32" s="580"/>
      <c r="O32" s="580"/>
      <c r="P32" s="581"/>
      <c r="Q32" s="580"/>
      <c r="R32" s="580"/>
      <c r="S32" s="580"/>
      <c r="T32" s="580"/>
      <c r="U32" s="580"/>
      <c r="V32" s="580"/>
      <c r="W32" s="559"/>
    </row>
    <row r="33" spans="1:25" ht="15" thickBot="1" x14ac:dyDescent="0.4">
      <c r="B33" s="583"/>
      <c r="C33" s="586"/>
      <c r="D33" s="587"/>
      <c r="E33" s="587"/>
      <c r="F33" s="587"/>
      <c r="G33" s="587">
        <f t="shared" ref="G33:V33" si="0">SUM(G6:G32)</f>
        <v>10540.05</v>
      </c>
      <c r="H33" s="587">
        <f t="shared" si="0"/>
        <v>1654.1999999999998</v>
      </c>
      <c r="I33" s="1250">
        <f t="shared" si="0"/>
        <v>26</v>
      </c>
      <c r="J33" s="1250">
        <f t="shared" si="0"/>
        <v>35.42</v>
      </c>
      <c r="K33" s="1250">
        <f t="shared" si="0"/>
        <v>55.85</v>
      </c>
      <c r="L33" s="587">
        <f t="shared" si="0"/>
        <v>978.1099999999999</v>
      </c>
      <c r="M33" s="1250">
        <f t="shared" si="0"/>
        <v>315</v>
      </c>
      <c r="N33" s="1250">
        <f t="shared" si="0"/>
        <v>3908.95</v>
      </c>
      <c r="O33" s="1250">
        <f t="shared" si="0"/>
        <v>173.99</v>
      </c>
      <c r="P33" s="1250">
        <f t="shared" si="0"/>
        <v>220.95000000000002</v>
      </c>
      <c r="Q33" s="1250">
        <f t="shared" si="0"/>
        <v>334.5</v>
      </c>
      <c r="R33" s="1250">
        <f t="shared" si="0"/>
        <v>126.47</v>
      </c>
      <c r="S33" s="587">
        <f t="shared" si="0"/>
        <v>103.25</v>
      </c>
      <c r="T33" s="1250">
        <f t="shared" si="0"/>
        <v>118.75</v>
      </c>
      <c r="U33" s="1250">
        <f t="shared" si="0"/>
        <v>2376.6099999999997</v>
      </c>
      <c r="V33" s="1250">
        <f t="shared" si="0"/>
        <v>112</v>
      </c>
      <c r="W33" s="36"/>
      <c r="X33" s="36"/>
      <c r="Y33" s="36"/>
    </row>
    <row r="34" spans="1:25" ht="15" thickTop="1" x14ac:dyDescent="0.35">
      <c r="B34" s="588"/>
      <c r="C34" s="586"/>
      <c r="D34" s="35"/>
      <c r="E34" s="35"/>
      <c r="G34" s="585"/>
      <c r="H34" s="37"/>
      <c r="I34" s="38"/>
      <c r="J34" s="38"/>
      <c r="K34" s="38"/>
      <c r="L34" s="591"/>
      <c r="M34" s="38"/>
      <c r="N34" s="38"/>
      <c r="O34" s="38"/>
      <c r="P34" s="38"/>
      <c r="Q34" s="38"/>
      <c r="R34" s="591"/>
      <c r="S34" s="38"/>
      <c r="T34" s="591"/>
      <c r="U34" s="591"/>
      <c r="V34" s="591"/>
      <c r="W34" s="36"/>
      <c r="X34" s="36"/>
      <c r="Y34" s="36"/>
    </row>
    <row r="35" spans="1:25" ht="15" thickBot="1" x14ac:dyDescent="0.4">
      <c r="B35" s="593"/>
      <c r="C35" s="594"/>
      <c r="D35" s="595"/>
      <c r="E35" s="595"/>
      <c r="F35" s="596"/>
      <c r="G35" s="597"/>
      <c r="H35" s="600"/>
      <c r="I35" s="601"/>
      <c r="J35" s="601"/>
      <c r="K35" s="601"/>
      <c r="L35" s="602"/>
      <c r="M35" s="601"/>
      <c r="N35" s="601"/>
      <c r="O35" s="601"/>
      <c r="P35" s="601"/>
      <c r="Q35" s="603"/>
      <c r="R35" s="602"/>
      <c r="S35" s="601"/>
      <c r="T35" s="602"/>
      <c r="U35" s="602"/>
      <c r="V35" s="604"/>
      <c r="W35" s="36"/>
      <c r="X35" s="36"/>
      <c r="Y35" s="36"/>
    </row>
    <row r="36" spans="1:25" x14ac:dyDescent="0.35">
      <c r="B36" s="39"/>
      <c r="C36" s="586"/>
      <c r="D36" s="35"/>
      <c r="E36" s="35"/>
      <c r="G36" s="585"/>
      <c r="H36" s="37"/>
      <c r="I36" s="38"/>
      <c r="J36" s="38"/>
      <c r="K36" s="38"/>
      <c r="L36" s="591"/>
      <c r="M36" s="38"/>
      <c r="N36" s="38"/>
      <c r="O36" s="38"/>
      <c r="P36" s="38"/>
      <c r="Q36" s="36"/>
      <c r="R36" s="591"/>
      <c r="S36" s="38"/>
      <c r="T36" s="591"/>
      <c r="U36" s="591"/>
      <c r="V36" s="591"/>
      <c r="W36" s="36"/>
      <c r="X36" s="36"/>
      <c r="Y36" s="36"/>
    </row>
    <row r="37" spans="1:25" x14ac:dyDescent="0.35">
      <c r="B37" s="35"/>
      <c r="C37" s="586"/>
      <c r="H37" s="37"/>
      <c r="I37" s="38"/>
      <c r="J37" s="38"/>
      <c r="K37" s="38"/>
      <c r="L37" s="591"/>
      <c r="M37" s="38"/>
      <c r="N37" s="38"/>
      <c r="O37" s="38"/>
      <c r="P37" s="38"/>
      <c r="Q37" s="38"/>
      <c r="R37" s="591"/>
      <c r="S37" s="38"/>
      <c r="T37" s="591"/>
      <c r="U37" s="591"/>
      <c r="V37" s="591"/>
      <c r="W37" s="36"/>
      <c r="X37" s="36"/>
      <c r="Y37" s="36"/>
    </row>
    <row r="38" spans="1:25" x14ac:dyDescent="0.35">
      <c r="B38" s="35"/>
      <c r="C38" s="586"/>
      <c r="E38" s="606"/>
      <c r="G38" s="585"/>
      <c r="H38" s="37"/>
      <c r="I38" s="38"/>
      <c r="J38" s="38"/>
      <c r="K38" s="38"/>
      <c r="L38" s="591"/>
      <c r="M38" s="38"/>
      <c r="N38" s="38"/>
      <c r="O38" s="38"/>
      <c r="P38" s="38"/>
      <c r="Q38" s="38"/>
      <c r="R38" s="591"/>
      <c r="S38" s="38"/>
      <c r="T38" s="591"/>
      <c r="U38" s="591"/>
      <c r="V38" s="591"/>
      <c r="W38" s="36"/>
      <c r="X38" s="36"/>
      <c r="Y38" s="36"/>
    </row>
    <row r="39" spans="1:25" x14ac:dyDescent="0.35">
      <c r="B39" s="35"/>
      <c r="C39" s="586"/>
      <c r="H39" s="37"/>
      <c r="I39" s="38"/>
      <c r="J39" s="38"/>
      <c r="K39" s="38"/>
      <c r="L39" s="591"/>
      <c r="M39" s="38"/>
      <c r="N39" s="38"/>
      <c r="O39" s="38"/>
      <c r="P39" s="38"/>
      <c r="Q39" s="38"/>
      <c r="R39" s="591"/>
      <c r="S39" s="38"/>
      <c r="T39" s="591"/>
      <c r="U39" s="591"/>
      <c r="V39" s="591"/>
      <c r="W39" s="36"/>
      <c r="X39" s="36"/>
      <c r="Y39" s="36"/>
    </row>
    <row r="40" spans="1:25" x14ac:dyDescent="0.35">
      <c r="B40" s="35"/>
      <c r="C40" s="586"/>
      <c r="H40" s="37"/>
      <c r="I40" s="38"/>
      <c r="J40" s="38"/>
      <c r="K40" s="38"/>
      <c r="L40" s="591"/>
      <c r="M40" s="38"/>
      <c r="N40" s="38"/>
      <c r="O40" s="38"/>
      <c r="P40" s="38"/>
      <c r="Q40" s="38"/>
      <c r="R40" s="591"/>
      <c r="S40" s="38"/>
      <c r="T40" s="591"/>
      <c r="U40" s="591"/>
      <c r="V40" s="591"/>
      <c r="W40" s="36"/>
      <c r="X40" s="36"/>
      <c r="Y40" s="36"/>
    </row>
    <row r="41" spans="1:25" x14ac:dyDescent="0.35">
      <c r="B41" s="35"/>
      <c r="C41" s="586"/>
      <c r="E41" s="606"/>
      <c r="G41" s="607"/>
      <c r="H41" s="37"/>
      <c r="I41" s="38"/>
      <c r="J41" s="38"/>
      <c r="K41" s="38"/>
      <c r="L41" s="591"/>
      <c r="M41" s="38"/>
      <c r="N41" s="38"/>
      <c r="O41" s="38"/>
      <c r="P41" s="38"/>
      <c r="Q41" s="38"/>
      <c r="R41" s="591"/>
      <c r="S41" s="38"/>
      <c r="T41" s="591"/>
      <c r="U41" s="591"/>
      <c r="V41" s="591"/>
      <c r="W41" s="36"/>
      <c r="X41" s="36"/>
      <c r="Y41" s="36"/>
    </row>
    <row r="42" spans="1:25" x14ac:dyDescent="0.35">
      <c r="B42" s="35"/>
      <c r="C42" s="586"/>
      <c r="H42" s="37"/>
      <c r="I42" s="38"/>
      <c r="J42" s="38"/>
      <c r="K42" s="38"/>
      <c r="L42" s="591"/>
      <c r="M42" s="38"/>
      <c r="N42" s="38"/>
      <c r="O42" s="38"/>
      <c r="P42" s="38"/>
      <c r="Q42" s="38"/>
      <c r="R42" s="591"/>
      <c r="S42" s="38"/>
      <c r="T42" s="591"/>
      <c r="U42" s="591"/>
      <c r="V42" s="591"/>
      <c r="W42" s="36"/>
      <c r="X42" s="36"/>
      <c r="Y42" s="36"/>
    </row>
    <row r="43" spans="1:25" x14ac:dyDescent="0.35">
      <c r="B43" s="39"/>
      <c r="C43" s="586"/>
      <c r="D43" s="35"/>
      <c r="E43" s="35"/>
      <c r="G43" s="585"/>
      <c r="H43" s="37"/>
      <c r="I43" s="38"/>
      <c r="J43" s="38"/>
      <c r="K43" s="38"/>
      <c r="L43" s="591"/>
      <c r="M43" s="38"/>
      <c r="N43" s="38"/>
      <c r="O43" s="38"/>
      <c r="P43" s="36"/>
      <c r="Q43" s="36"/>
      <c r="R43" s="591"/>
      <c r="S43" s="38"/>
      <c r="T43" s="591"/>
      <c r="U43" s="591"/>
      <c r="V43" s="591"/>
      <c r="W43" s="36"/>
      <c r="X43" s="36"/>
      <c r="Y43" s="36"/>
    </row>
    <row r="44" spans="1:25" x14ac:dyDescent="0.35">
      <c r="B44" s="39"/>
      <c r="C44" s="586"/>
      <c r="D44" s="35"/>
      <c r="E44" s="35"/>
      <c r="G44" s="585"/>
      <c r="H44" s="37"/>
      <c r="I44" s="38"/>
      <c r="J44" s="38"/>
      <c r="K44" s="38"/>
      <c r="L44" s="591"/>
      <c r="M44" s="38"/>
      <c r="N44" s="38"/>
      <c r="O44" s="38"/>
      <c r="P44" s="36"/>
      <c r="Q44" s="38"/>
      <c r="R44" s="591"/>
      <c r="S44" s="38"/>
      <c r="T44" s="591"/>
      <c r="U44" s="591"/>
      <c r="V44" s="591"/>
      <c r="W44" s="36"/>
      <c r="X44" s="36"/>
      <c r="Y44" s="36"/>
    </row>
    <row r="45" spans="1:25" x14ac:dyDescent="0.35">
      <c r="B45" s="39"/>
      <c r="C45" s="586"/>
      <c r="D45" s="35"/>
      <c r="E45" s="35"/>
      <c r="G45" s="585"/>
      <c r="H45" s="37"/>
      <c r="I45" s="38"/>
      <c r="J45" s="38"/>
      <c r="K45" s="38"/>
      <c r="L45" s="591"/>
      <c r="M45" s="38"/>
      <c r="N45" s="38"/>
      <c r="O45" s="38"/>
      <c r="P45" s="38"/>
      <c r="Q45" s="38"/>
      <c r="R45" s="591"/>
      <c r="S45" s="38"/>
      <c r="T45" s="591"/>
      <c r="U45" s="591"/>
      <c r="V45" s="591"/>
      <c r="W45" s="36"/>
      <c r="X45" s="36"/>
      <c r="Y45" s="36"/>
    </row>
    <row r="46" spans="1:25" x14ac:dyDescent="0.35">
      <c r="B46" s="39"/>
      <c r="C46" s="586"/>
      <c r="D46" s="35"/>
      <c r="E46" s="35"/>
      <c r="G46" s="585"/>
      <c r="H46" s="37"/>
      <c r="I46" s="591"/>
      <c r="J46" s="591"/>
      <c r="K46" s="591"/>
      <c r="L46" s="591"/>
      <c r="M46" s="591"/>
      <c r="N46" s="591"/>
      <c r="O46" s="591"/>
      <c r="P46" s="591"/>
      <c r="Q46" s="591"/>
      <c r="R46" s="591"/>
      <c r="S46" s="591"/>
      <c r="T46" s="591"/>
      <c r="U46" s="591"/>
      <c r="V46" s="591"/>
      <c r="W46" s="36"/>
      <c r="X46" s="36"/>
      <c r="Y46" s="36"/>
    </row>
    <row r="47" spans="1:25" x14ac:dyDescent="0.35">
      <c r="B47" s="39"/>
      <c r="C47" s="586"/>
      <c r="D47" s="35"/>
      <c r="E47" s="35"/>
      <c r="G47" s="585"/>
      <c r="H47" s="37"/>
      <c r="I47" s="38"/>
      <c r="J47" s="38"/>
      <c r="K47" s="38"/>
      <c r="L47" s="591"/>
      <c r="M47" s="38"/>
      <c r="N47" s="38"/>
      <c r="O47" s="38"/>
      <c r="P47" s="38"/>
      <c r="Q47" s="38"/>
      <c r="R47" s="591"/>
      <c r="S47" s="38"/>
      <c r="T47" s="591"/>
      <c r="U47" s="591"/>
      <c r="V47" s="591"/>
      <c r="W47" s="36"/>
      <c r="X47" s="36"/>
      <c r="Y47" s="36"/>
    </row>
    <row r="48" spans="1:25" x14ac:dyDescent="0.35">
      <c r="A48" s="1283"/>
      <c r="B48" s="39"/>
      <c r="C48" s="586"/>
      <c r="D48" s="1284"/>
      <c r="E48" s="35"/>
      <c r="G48" s="585"/>
      <c r="H48" s="37"/>
      <c r="I48" s="38"/>
      <c r="J48" s="38"/>
      <c r="K48" s="38"/>
      <c r="L48" s="591"/>
      <c r="M48" s="38"/>
      <c r="N48" s="38"/>
      <c r="O48" s="38"/>
      <c r="P48" s="38"/>
      <c r="Q48" s="38"/>
      <c r="R48" s="591"/>
      <c r="S48" s="38"/>
      <c r="T48" s="591"/>
      <c r="U48" s="591"/>
      <c r="V48" s="591"/>
      <c r="W48" s="36"/>
      <c r="X48" s="36"/>
      <c r="Y48" s="36"/>
    </row>
    <row r="49" spans="1:25" x14ac:dyDescent="0.35">
      <c r="A49" s="1283"/>
      <c r="B49" s="39"/>
      <c r="C49" s="586"/>
      <c r="D49" s="35"/>
      <c r="E49" s="35"/>
      <c r="G49" s="585"/>
      <c r="H49" s="37"/>
      <c r="I49" s="38"/>
      <c r="J49" s="38"/>
      <c r="K49" s="38"/>
      <c r="L49" s="591"/>
      <c r="M49" s="38"/>
      <c r="N49" s="38"/>
      <c r="O49" s="38"/>
      <c r="P49" s="38"/>
      <c r="Q49" s="38"/>
      <c r="R49" s="591"/>
      <c r="S49" s="38"/>
      <c r="T49" s="591"/>
      <c r="U49" s="591"/>
      <c r="V49" s="591"/>
      <c r="W49" s="36"/>
      <c r="X49" s="36"/>
      <c r="Y49" s="36"/>
    </row>
    <row r="50" spans="1:25" s="40" customFormat="1" x14ac:dyDescent="0.35">
      <c r="A50" s="1277"/>
      <c r="B50" s="39"/>
      <c r="C50" s="586"/>
      <c r="D50" s="35"/>
      <c r="E50" s="35"/>
      <c r="F50" s="584"/>
      <c r="G50" s="550"/>
      <c r="H50" s="37"/>
      <c r="I50" s="38"/>
      <c r="J50" s="38"/>
      <c r="K50" s="38"/>
      <c r="L50" s="591"/>
      <c r="M50" s="38"/>
      <c r="N50" s="38"/>
      <c r="O50" s="38"/>
      <c r="P50" s="38"/>
      <c r="Q50" s="38"/>
      <c r="R50" s="591"/>
      <c r="S50" s="38"/>
      <c r="T50" s="591"/>
      <c r="U50" s="591"/>
      <c r="V50" s="591"/>
    </row>
    <row r="51" spans="1:25" x14ac:dyDescent="0.35">
      <c r="A51" s="1283"/>
      <c r="B51" s="39"/>
      <c r="C51" s="586"/>
      <c r="D51" s="35"/>
      <c r="E51" s="35"/>
      <c r="G51" s="550"/>
      <c r="H51" s="37"/>
      <c r="I51" s="36"/>
      <c r="J51" s="36"/>
      <c r="K51" s="36"/>
      <c r="L51" s="591"/>
      <c r="M51" s="36"/>
      <c r="N51" s="36"/>
      <c r="O51" s="36"/>
      <c r="P51" s="38"/>
      <c r="Q51" s="36"/>
      <c r="R51" s="591"/>
      <c r="S51" s="36"/>
      <c r="T51" s="591"/>
      <c r="U51" s="591"/>
      <c r="V51" s="591"/>
      <c r="W51" s="36"/>
      <c r="X51" s="36"/>
      <c r="Y51" s="36"/>
    </row>
    <row r="52" spans="1:25" x14ac:dyDescent="0.35">
      <c r="B52" s="39"/>
      <c r="C52" s="586"/>
      <c r="D52" s="35"/>
      <c r="E52" s="35"/>
      <c r="G52" s="585"/>
      <c r="H52" s="37"/>
      <c r="I52" s="36"/>
      <c r="J52" s="36"/>
      <c r="K52" s="36"/>
      <c r="L52" s="591"/>
      <c r="M52" s="36"/>
      <c r="N52" s="36"/>
      <c r="O52" s="36"/>
      <c r="P52" s="38"/>
      <c r="Q52" s="38"/>
      <c r="R52" s="591"/>
      <c r="S52" s="36"/>
      <c r="T52" s="591"/>
      <c r="U52" s="591"/>
      <c r="V52" s="591"/>
      <c r="W52" s="36"/>
      <c r="X52" s="36"/>
      <c r="Y52" s="36"/>
    </row>
    <row r="53" spans="1:25" x14ac:dyDescent="0.35">
      <c r="B53" s="39"/>
      <c r="C53" s="586"/>
      <c r="D53" s="35"/>
      <c r="E53" s="35"/>
      <c r="G53" s="585"/>
      <c r="H53" s="37"/>
      <c r="I53" s="36"/>
      <c r="J53" s="36"/>
      <c r="K53" s="36"/>
      <c r="L53" s="591"/>
      <c r="M53" s="36"/>
      <c r="N53" s="36"/>
      <c r="O53" s="36"/>
      <c r="P53" s="38"/>
      <c r="Q53" s="38"/>
      <c r="R53" s="591"/>
      <c r="S53" s="36"/>
      <c r="T53" s="591"/>
      <c r="U53" s="591"/>
      <c r="V53" s="591"/>
      <c r="W53" s="36"/>
      <c r="X53" s="36"/>
      <c r="Y53" s="36"/>
    </row>
    <row r="54" spans="1:25" x14ac:dyDescent="0.35">
      <c r="B54" s="39"/>
      <c r="C54" s="586"/>
      <c r="D54" s="35"/>
      <c r="E54" s="35"/>
      <c r="G54" s="585"/>
      <c r="H54" s="37"/>
      <c r="I54" s="36"/>
      <c r="J54" s="36"/>
      <c r="K54" s="36"/>
      <c r="L54" s="591"/>
      <c r="M54" s="36"/>
      <c r="N54" s="36"/>
      <c r="O54" s="36"/>
      <c r="P54" s="38"/>
      <c r="Q54" s="38"/>
      <c r="R54" s="591"/>
      <c r="S54" s="36"/>
      <c r="T54" s="591"/>
      <c r="U54" s="591"/>
      <c r="V54" s="591"/>
      <c r="W54" s="36"/>
      <c r="X54" s="36"/>
      <c r="Y54" s="36"/>
    </row>
    <row r="55" spans="1:25" x14ac:dyDescent="0.35">
      <c r="B55" s="39"/>
      <c r="C55" s="586"/>
      <c r="D55" s="35"/>
      <c r="E55" s="35"/>
      <c r="G55" s="585"/>
      <c r="H55" s="37"/>
      <c r="I55" s="36"/>
      <c r="J55" s="36"/>
      <c r="K55" s="36"/>
      <c r="L55" s="591"/>
      <c r="M55" s="36"/>
      <c r="N55" s="36"/>
      <c r="O55" s="36"/>
      <c r="P55" s="38"/>
      <c r="Q55" s="38"/>
      <c r="R55" s="591"/>
      <c r="S55" s="36"/>
      <c r="T55" s="591"/>
      <c r="U55" s="591"/>
      <c r="V55" s="591"/>
      <c r="W55" s="36"/>
      <c r="X55" s="36"/>
      <c r="Y55" s="36"/>
    </row>
    <row r="56" spans="1:25" x14ac:dyDescent="0.35">
      <c r="B56" s="39"/>
      <c r="C56" s="586"/>
      <c r="D56" s="35"/>
      <c r="E56" s="35"/>
      <c r="G56" s="585"/>
      <c r="H56" s="37"/>
      <c r="I56" s="36"/>
      <c r="J56" s="36"/>
      <c r="K56" s="36"/>
      <c r="L56" s="591"/>
      <c r="M56" s="36"/>
      <c r="N56" s="36"/>
      <c r="O56" s="36"/>
      <c r="P56" s="38"/>
      <c r="Q56" s="38"/>
      <c r="R56" s="591"/>
      <c r="S56" s="36"/>
      <c r="T56" s="591"/>
      <c r="U56" s="591"/>
      <c r="V56" s="591"/>
      <c r="W56" s="36"/>
      <c r="X56" s="36"/>
      <c r="Y56" s="36"/>
    </row>
    <row r="57" spans="1:25" x14ac:dyDescent="0.35">
      <c r="B57" s="39"/>
      <c r="C57" s="586"/>
      <c r="D57" s="35"/>
      <c r="E57" s="35"/>
      <c r="G57" s="585"/>
      <c r="H57" s="37"/>
      <c r="I57" s="36"/>
      <c r="J57" s="36"/>
      <c r="K57" s="36"/>
      <c r="L57" s="591"/>
      <c r="M57" s="36"/>
      <c r="N57" s="36"/>
      <c r="O57" s="36"/>
      <c r="P57" s="36"/>
      <c r="Q57" s="36"/>
      <c r="R57" s="591"/>
      <c r="S57" s="36"/>
      <c r="T57" s="591"/>
      <c r="U57" s="591"/>
      <c r="V57" s="591"/>
      <c r="W57" s="36"/>
      <c r="X57" s="36"/>
      <c r="Y57" s="36"/>
    </row>
    <row r="58" spans="1:25" x14ac:dyDescent="0.35">
      <c r="A58" s="552"/>
      <c r="B58" s="39"/>
      <c r="C58" s="586"/>
      <c r="D58" s="35"/>
      <c r="E58" s="35"/>
      <c r="F58" s="552"/>
      <c r="G58" s="585"/>
      <c r="H58" s="37"/>
      <c r="I58" s="36"/>
      <c r="J58" s="36"/>
      <c r="K58" s="36"/>
      <c r="L58" s="591"/>
      <c r="M58" s="36"/>
      <c r="N58" s="36"/>
      <c r="O58" s="36"/>
      <c r="P58" s="38"/>
      <c r="Q58" s="38"/>
      <c r="R58" s="591"/>
      <c r="S58" s="36"/>
      <c r="T58" s="591"/>
      <c r="U58" s="591"/>
      <c r="V58" s="591"/>
      <c r="W58" s="36"/>
      <c r="X58" s="36"/>
      <c r="Y58" s="36"/>
    </row>
    <row r="59" spans="1:25" x14ac:dyDescent="0.35">
      <c r="A59" s="552"/>
      <c r="B59" s="39"/>
      <c r="C59" s="586"/>
      <c r="D59" s="40"/>
      <c r="E59" s="40"/>
      <c r="F59" s="40"/>
      <c r="G59" s="585"/>
      <c r="H59" s="37"/>
      <c r="I59" s="36"/>
      <c r="J59" s="36"/>
      <c r="K59" s="36"/>
      <c r="L59" s="591"/>
      <c r="M59" s="36"/>
      <c r="N59" s="36"/>
      <c r="O59" s="36"/>
      <c r="P59" s="38"/>
      <c r="Q59" s="38"/>
      <c r="R59" s="591"/>
      <c r="S59" s="36"/>
      <c r="T59" s="591"/>
      <c r="U59" s="591"/>
      <c r="V59" s="591"/>
      <c r="W59" s="36"/>
      <c r="X59" s="36"/>
      <c r="Y59" s="36"/>
    </row>
    <row r="60" spans="1:25" x14ac:dyDescent="0.35">
      <c r="A60" s="552"/>
      <c r="B60" s="39"/>
      <c r="C60" s="586"/>
      <c r="D60" s="35"/>
      <c r="E60" s="35"/>
      <c r="F60" s="552"/>
      <c r="G60" s="585"/>
      <c r="H60" s="37"/>
      <c r="I60" s="36"/>
      <c r="J60" s="36"/>
      <c r="K60" s="36"/>
      <c r="L60" s="591"/>
      <c r="M60" s="36"/>
      <c r="N60" s="36"/>
      <c r="O60" s="36"/>
      <c r="P60" s="38"/>
      <c r="Q60" s="38"/>
      <c r="R60" s="591"/>
      <c r="S60" s="36"/>
      <c r="T60" s="591"/>
      <c r="U60" s="591"/>
      <c r="V60" s="591"/>
      <c r="W60" s="36"/>
      <c r="X60" s="36"/>
      <c r="Y60" s="36"/>
    </row>
    <row r="61" spans="1:25" x14ac:dyDescent="0.35">
      <c r="A61" s="552"/>
      <c r="B61" s="39"/>
      <c r="C61" s="586"/>
      <c r="D61" s="35"/>
      <c r="E61" s="35"/>
      <c r="F61" s="552"/>
      <c r="G61" s="585"/>
      <c r="H61" s="37"/>
      <c r="I61" s="36"/>
      <c r="J61" s="36"/>
      <c r="K61" s="36"/>
      <c r="L61" s="591"/>
      <c r="M61" s="36"/>
      <c r="N61" s="36"/>
      <c r="O61" s="36"/>
      <c r="P61" s="38"/>
      <c r="Q61" s="38"/>
      <c r="R61" s="591"/>
      <c r="S61" s="36"/>
      <c r="T61" s="591"/>
      <c r="U61" s="591"/>
      <c r="V61" s="591"/>
      <c r="W61" s="36"/>
      <c r="X61" s="36"/>
      <c r="Y61" s="36"/>
    </row>
    <row r="62" spans="1:25" x14ac:dyDescent="0.35">
      <c r="A62" s="552"/>
      <c r="B62" s="39"/>
      <c r="C62" s="586"/>
      <c r="D62" s="35"/>
      <c r="E62" s="35"/>
      <c r="F62" s="552"/>
      <c r="G62" s="585"/>
      <c r="H62" s="37"/>
      <c r="I62" s="36"/>
      <c r="J62" s="36"/>
      <c r="K62" s="36"/>
      <c r="L62" s="591"/>
      <c r="M62" s="36"/>
      <c r="N62" s="36"/>
      <c r="O62" s="36"/>
      <c r="P62" s="38"/>
      <c r="Q62" s="38"/>
      <c r="R62" s="591"/>
      <c r="S62" s="36"/>
      <c r="T62" s="591"/>
      <c r="U62" s="591"/>
      <c r="V62" s="591"/>
      <c r="W62" s="36"/>
      <c r="X62" s="36"/>
      <c r="Y62" s="36"/>
    </row>
    <row r="63" spans="1:25" x14ac:dyDescent="0.35">
      <c r="A63" s="552"/>
      <c r="B63" s="40"/>
      <c r="C63" s="40"/>
      <c r="D63" s="40"/>
      <c r="E63" s="40"/>
      <c r="F63" s="552"/>
      <c r="G63" s="610"/>
      <c r="H63" s="609"/>
      <c r="I63" s="40"/>
      <c r="J63" s="40"/>
      <c r="K63" s="40"/>
      <c r="L63" s="611"/>
      <c r="M63" s="40"/>
      <c r="N63" s="40"/>
      <c r="O63" s="40"/>
      <c r="P63" s="40"/>
      <c r="Q63" s="40"/>
      <c r="R63" s="591"/>
      <c r="S63" s="40"/>
      <c r="T63" s="591"/>
      <c r="U63" s="591"/>
      <c r="V63" s="591"/>
      <c r="W63" s="36"/>
      <c r="X63" s="36"/>
      <c r="Y63" s="36"/>
    </row>
    <row r="64" spans="1:25" x14ac:dyDescent="0.35">
      <c r="A64" s="552"/>
      <c r="B64" s="39"/>
      <c r="C64" s="586"/>
      <c r="D64" s="35"/>
      <c r="E64" s="36"/>
      <c r="F64" s="552"/>
      <c r="H64" s="37"/>
      <c r="I64" s="36"/>
      <c r="J64" s="36"/>
      <c r="K64" s="36"/>
      <c r="L64" s="591"/>
      <c r="M64" s="36"/>
      <c r="N64" s="36"/>
      <c r="O64" s="36"/>
      <c r="P64" s="36"/>
      <c r="Q64" s="591"/>
      <c r="R64" s="591"/>
      <c r="S64" s="36"/>
      <c r="T64" s="591"/>
      <c r="U64" s="591"/>
      <c r="V64" s="591"/>
      <c r="W64" s="36"/>
      <c r="X64" s="36"/>
      <c r="Y64" s="36"/>
    </row>
    <row r="65" spans="1:25" x14ac:dyDescent="0.35">
      <c r="A65" s="552"/>
      <c r="B65" s="39"/>
      <c r="C65" s="586"/>
      <c r="D65" s="36"/>
      <c r="E65" s="36"/>
      <c r="F65" s="552"/>
      <c r="H65" s="37"/>
      <c r="I65" s="36"/>
      <c r="J65" s="36"/>
      <c r="K65" s="36"/>
      <c r="L65" s="591"/>
      <c r="M65" s="36"/>
      <c r="N65" s="36"/>
      <c r="O65" s="36"/>
      <c r="P65" s="36"/>
      <c r="Q65" s="591"/>
      <c r="R65" s="591"/>
      <c r="S65" s="36"/>
      <c r="T65" s="591"/>
      <c r="U65" s="591"/>
      <c r="V65" s="591"/>
      <c r="W65" s="36"/>
      <c r="X65" s="36"/>
      <c r="Y65" s="36"/>
    </row>
    <row r="66" spans="1:25" x14ac:dyDescent="0.35">
      <c r="A66" s="552"/>
      <c r="B66" s="39"/>
      <c r="C66" s="586"/>
      <c r="D66" s="36"/>
      <c r="E66" s="36"/>
      <c r="F66" s="552"/>
      <c r="H66" s="37"/>
      <c r="I66" s="36"/>
      <c r="J66" s="36"/>
      <c r="K66" s="36"/>
      <c r="L66" s="591"/>
      <c r="M66" s="36"/>
      <c r="N66" s="36"/>
      <c r="O66" s="36"/>
      <c r="P66" s="36"/>
      <c r="Q66" s="36"/>
      <c r="R66" s="591"/>
      <c r="S66" s="36"/>
      <c r="T66" s="591"/>
      <c r="U66" s="591"/>
      <c r="V66" s="591"/>
      <c r="W66" s="36"/>
      <c r="X66" s="36"/>
      <c r="Y66" s="36"/>
    </row>
    <row r="67" spans="1:25" x14ac:dyDescent="0.35">
      <c r="A67" s="552"/>
      <c r="B67" s="39"/>
      <c r="C67" s="586"/>
      <c r="D67" s="36"/>
      <c r="E67" s="36"/>
      <c r="F67" s="552"/>
      <c r="H67" s="37"/>
      <c r="I67" s="36"/>
      <c r="J67" s="36"/>
      <c r="K67" s="36"/>
      <c r="L67" s="591"/>
      <c r="M67" s="36"/>
      <c r="N67" s="36"/>
      <c r="O67" s="36"/>
      <c r="P67" s="36"/>
      <c r="Q67" s="36"/>
      <c r="R67" s="591"/>
      <c r="S67" s="36"/>
      <c r="T67" s="591"/>
      <c r="U67" s="591"/>
      <c r="V67" s="591"/>
      <c r="W67" s="36"/>
      <c r="X67" s="36"/>
      <c r="Y67" s="36"/>
    </row>
    <row r="68" spans="1:25" x14ac:dyDescent="0.35">
      <c r="A68" s="552"/>
      <c r="B68" s="39"/>
      <c r="C68" s="586"/>
      <c r="D68" s="36"/>
      <c r="E68" s="36"/>
      <c r="F68" s="552"/>
      <c r="H68" s="37"/>
      <c r="I68" s="36"/>
      <c r="J68" s="36"/>
      <c r="K68" s="36"/>
      <c r="L68" s="591"/>
      <c r="M68" s="36"/>
      <c r="N68" s="36"/>
      <c r="O68" s="36"/>
      <c r="P68" s="36"/>
      <c r="Q68" s="36"/>
      <c r="R68" s="591"/>
      <c r="S68" s="36"/>
      <c r="T68" s="591"/>
      <c r="U68" s="591"/>
      <c r="V68" s="591"/>
      <c r="W68" s="36"/>
      <c r="X68" s="36"/>
      <c r="Y68" s="36"/>
    </row>
    <row r="69" spans="1:25" x14ac:dyDescent="0.35">
      <c r="A69" s="552"/>
      <c r="B69" s="39"/>
      <c r="C69" s="586"/>
      <c r="D69" s="36"/>
      <c r="E69" s="36"/>
      <c r="F69" s="552"/>
      <c r="H69" s="37"/>
      <c r="I69" s="36"/>
      <c r="J69" s="36"/>
      <c r="K69" s="36"/>
      <c r="L69" s="591"/>
      <c r="M69" s="36"/>
      <c r="N69" s="36"/>
      <c r="O69" s="36"/>
      <c r="P69" s="36"/>
      <c r="Q69" s="36"/>
      <c r="R69" s="591"/>
      <c r="S69" s="36"/>
      <c r="T69" s="591"/>
      <c r="U69" s="591"/>
      <c r="V69" s="591"/>
      <c r="W69" s="36"/>
      <c r="X69" s="36"/>
      <c r="Y69" s="36"/>
    </row>
    <row r="70" spans="1:25" x14ac:dyDescent="0.35">
      <c r="A70" s="552"/>
      <c r="B70" s="39"/>
      <c r="C70" s="586"/>
      <c r="D70" s="36"/>
      <c r="E70" s="36"/>
      <c r="F70" s="552"/>
      <c r="H70" s="37"/>
      <c r="I70" s="36"/>
      <c r="J70" s="36"/>
      <c r="K70" s="36"/>
      <c r="L70" s="591"/>
      <c r="M70" s="36"/>
      <c r="N70" s="36"/>
      <c r="O70" s="36"/>
      <c r="P70" s="36"/>
      <c r="Q70" s="36"/>
      <c r="R70" s="591"/>
      <c r="S70" s="36"/>
      <c r="T70" s="591"/>
      <c r="U70" s="591"/>
      <c r="V70" s="591"/>
      <c r="W70" s="36"/>
      <c r="X70" s="36"/>
      <c r="Y70" s="36"/>
    </row>
    <row r="71" spans="1:25" x14ac:dyDescent="0.35">
      <c r="A71" s="552"/>
      <c r="B71" s="39"/>
      <c r="C71" s="586"/>
      <c r="D71" s="36"/>
      <c r="E71" s="36"/>
      <c r="F71" s="552"/>
      <c r="H71" s="37"/>
      <c r="I71" s="36"/>
      <c r="J71" s="36"/>
      <c r="K71" s="36"/>
      <c r="L71" s="591"/>
      <c r="M71" s="36"/>
      <c r="N71" s="36"/>
      <c r="O71" s="36"/>
      <c r="P71" s="36"/>
      <c r="Q71" s="36"/>
      <c r="R71" s="591"/>
      <c r="S71" s="36"/>
      <c r="T71" s="591"/>
      <c r="U71" s="591"/>
      <c r="V71" s="591"/>
      <c r="W71" s="36"/>
      <c r="X71" s="36"/>
      <c r="Y71" s="36"/>
    </row>
    <row r="72" spans="1:25" x14ac:dyDescent="0.35">
      <c r="A72" s="552"/>
      <c r="B72" s="39"/>
      <c r="C72" s="586"/>
      <c r="D72" s="36"/>
      <c r="E72" s="36"/>
      <c r="F72" s="552"/>
      <c r="H72" s="37"/>
      <c r="I72" s="36"/>
      <c r="J72" s="36"/>
      <c r="K72" s="36"/>
      <c r="L72" s="591"/>
      <c r="M72" s="36"/>
      <c r="N72" s="36"/>
      <c r="O72" s="36"/>
      <c r="P72" s="36"/>
      <c r="Q72" s="36"/>
      <c r="R72" s="591"/>
      <c r="S72" s="36"/>
      <c r="T72" s="591"/>
      <c r="U72" s="591"/>
      <c r="V72" s="591"/>
      <c r="W72" s="36"/>
      <c r="X72" s="36"/>
      <c r="Y72" s="36"/>
    </row>
    <row r="73" spans="1:25" x14ac:dyDescent="0.35">
      <c r="A73" s="552"/>
      <c r="B73" s="39"/>
      <c r="C73" s="586"/>
      <c r="D73" s="36"/>
      <c r="E73" s="36"/>
      <c r="F73" s="552"/>
      <c r="H73" s="37"/>
      <c r="I73" s="36"/>
      <c r="J73" s="36"/>
      <c r="K73" s="36"/>
      <c r="L73" s="591"/>
      <c r="M73" s="36"/>
      <c r="N73" s="36"/>
      <c r="O73" s="36"/>
      <c r="P73" s="36"/>
      <c r="Q73" s="36"/>
      <c r="R73" s="591"/>
      <c r="S73" s="36"/>
      <c r="T73" s="591"/>
      <c r="U73" s="591"/>
      <c r="V73" s="591"/>
      <c r="W73" s="36"/>
      <c r="X73" s="36"/>
      <c r="Y73" s="36"/>
    </row>
    <row r="74" spans="1:25" x14ac:dyDescent="0.35">
      <c r="A74" s="552"/>
      <c r="B74" s="39"/>
      <c r="C74" s="586"/>
      <c r="D74" s="36"/>
      <c r="E74" s="36"/>
      <c r="F74" s="552"/>
      <c r="H74" s="37"/>
      <c r="I74" s="36"/>
      <c r="J74" s="36"/>
      <c r="K74" s="36"/>
      <c r="L74" s="591"/>
      <c r="M74" s="36"/>
      <c r="N74" s="36"/>
      <c r="O74" s="36"/>
      <c r="P74" s="36"/>
      <c r="Q74" s="36"/>
      <c r="R74" s="591"/>
      <c r="S74" s="36"/>
      <c r="T74" s="591"/>
      <c r="U74" s="591"/>
      <c r="V74" s="591"/>
      <c r="W74" s="36"/>
      <c r="X74" s="36"/>
      <c r="Y74" s="36"/>
    </row>
    <row r="75" spans="1:25" x14ac:dyDescent="0.35">
      <c r="A75" s="552"/>
      <c r="B75" s="39"/>
      <c r="C75" s="586"/>
      <c r="D75" s="36"/>
      <c r="E75" s="36"/>
      <c r="F75" s="552"/>
      <c r="H75" s="37"/>
      <c r="I75" s="36"/>
      <c r="J75" s="36"/>
      <c r="K75" s="36"/>
      <c r="L75" s="591"/>
      <c r="M75" s="36"/>
      <c r="N75" s="36"/>
      <c r="O75" s="36"/>
      <c r="P75" s="36"/>
      <c r="Q75" s="36"/>
      <c r="R75" s="591"/>
      <c r="S75" s="36"/>
      <c r="T75" s="591"/>
      <c r="U75" s="591"/>
      <c r="V75" s="591"/>
      <c r="W75" s="36"/>
      <c r="X75" s="36"/>
      <c r="Y75" s="36"/>
    </row>
    <row r="76" spans="1:25" x14ac:dyDescent="0.35">
      <c r="A76" s="552"/>
      <c r="B76" s="39"/>
      <c r="C76" s="586"/>
      <c r="D76" s="36"/>
      <c r="E76" s="36"/>
      <c r="F76" s="552"/>
      <c r="H76" s="37"/>
      <c r="I76" s="36"/>
      <c r="J76" s="36"/>
      <c r="K76" s="36"/>
      <c r="L76" s="591"/>
      <c r="M76" s="36"/>
      <c r="N76" s="36"/>
      <c r="O76" s="36"/>
      <c r="P76" s="36"/>
      <c r="Q76" s="36"/>
      <c r="R76" s="591"/>
      <c r="S76" s="36"/>
      <c r="T76" s="591"/>
      <c r="U76" s="591"/>
      <c r="V76" s="591"/>
      <c r="W76" s="36"/>
      <c r="X76" s="36"/>
      <c r="Y76" s="36"/>
    </row>
    <row r="77" spans="1:25" x14ac:dyDescent="0.35">
      <c r="A77" s="552"/>
      <c r="B77" s="39"/>
      <c r="C77" s="586"/>
      <c r="D77" s="36"/>
      <c r="E77" s="36"/>
      <c r="F77" s="552"/>
      <c r="H77" s="37"/>
      <c r="I77" s="36"/>
      <c r="J77" s="36"/>
      <c r="K77" s="36"/>
      <c r="L77" s="591"/>
      <c r="M77" s="36"/>
      <c r="N77" s="36"/>
      <c r="O77" s="36"/>
      <c r="P77" s="36"/>
      <c r="Q77" s="36"/>
      <c r="R77" s="591"/>
      <c r="S77" s="36"/>
      <c r="T77" s="591"/>
      <c r="U77" s="591"/>
      <c r="V77" s="591"/>
      <c r="W77" s="36"/>
      <c r="X77" s="36"/>
      <c r="Y77" s="36"/>
    </row>
    <row r="78" spans="1:25" x14ac:dyDescent="0.35">
      <c r="A78" s="552"/>
      <c r="B78" s="39"/>
      <c r="C78" s="586"/>
      <c r="D78" s="36"/>
      <c r="E78" s="36"/>
      <c r="F78" s="552"/>
      <c r="H78" s="37"/>
      <c r="I78" s="36"/>
      <c r="J78" s="36"/>
      <c r="K78" s="36"/>
      <c r="L78" s="591"/>
      <c r="M78" s="36"/>
      <c r="N78" s="36"/>
      <c r="O78" s="36"/>
      <c r="P78" s="36"/>
      <c r="Q78" s="591"/>
      <c r="R78" s="591"/>
      <c r="S78" s="36"/>
      <c r="T78" s="591"/>
      <c r="U78" s="591"/>
      <c r="V78" s="591"/>
      <c r="W78" s="36"/>
      <c r="X78" s="36"/>
      <c r="Y78" s="36"/>
    </row>
    <row r="79" spans="1:25" x14ac:dyDescent="0.35">
      <c r="A79" s="552"/>
      <c r="B79" s="586"/>
      <c r="C79" s="586"/>
      <c r="D79" s="36"/>
      <c r="E79" s="36"/>
      <c r="F79" s="552"/>
      <c r="H79" s="37"/>
      <c r="I79" s="36"/>
      <c r="J79" s="36"/>
      <c r="K79" s="36"/>
      <c r="L79" s="591"/>
      <c r="M79" s="36"/>
      <c r="N79" s="36"/>
      <c r="O79" s="36"/>
      <c r="P79" s="36"/>
      <c r="Q79" s="591"/>
      <c r="R79" s="591"/>
      <c r="S79" s="36"/>
      <c r="T79" s="591"/>
      <c r="U79" s="591"/>
      <c r="V79" s="591"/>
      <c r="W79" s="36"/>
      <c r="X79" s="36"/>
      <c r="Y79" s="36"/>
    </row>
    <row r="80" spans="1:25" x14ac:dyDescent="0.35">
      <c r="A80" s="552"/>
      <c r="B80" s="36"/>
      <c r="C80" s="586"/>
      <c r="D80" s="36"/>
      <c r="E80" s="36"/>
      <c r="F80" s="552"/>
      <c r="H80" s="37"/>
      <c r="I80" s="591"/>
      <c r="J80" s="591"/>
      <c r="K80" s="591"/>
      <c r="L80" s="591"/>
      <c r="M80" s="591"/>
      <c r="N80" s="591"/>
      <c r="O80" s="591"/>
      <c r="P80" s="591"/>
      <c r="Q80" s="591"/>
      <c r="R80" s="591"/>
      <c r="S80" s="591"/>
      <c r="T80" s="591"/>
      <c r="U80" s="591"/>
      <c r="V80" s="591"/>
      <c r="W80" s="36"/>
      <c r="X80" s="36"/>
      <c r="Y80" s="36"/>
    </row>
    <row r="81" spans="1:25" x14ac:dyDescent="0.35">
      <c r="A81" s="552"/>
      <c r="B81" s="36"/>
      <c r="C81" s="586"/>
      <c r="D81" s="36"/>
      <c r="E81" s="36"/>
      <c r="F81" s="552"/>
      <c r="H81" s="37"/>
      <c r="I81" s="591"/>
      <c r="J81" s="591"/>
      <c r="K81" s="591"/>
      <c r="L81" s="591"/>
      <c r="M81" s="591"/>
      <c r="N81" s="591"/>
      <c r="O81" s="591"/>
      <c r="P81" s="591"/>
      <c r="Q81" s="591"/>
      <c r="R81" s="591"/>
      <c r="S81" s="591"/>
      <c r="T81" s="591"/>
      <c r="U81" s="591"/>
      <c r="V81" s="591"/>
      <c r="W81" s="36"/>
      <c r="X81" s="36"/>
      <c r="Y81" s="36"/>
    </row>
    <row r="82" spans="1:25" x14ac:dyDescent="0.35">
      <c r="A82" s="552"/>
      <c r="B82" s="36"/>
      <c r="C82" s="586"/>
      <c r="D82" s="36"/>
      <c r="E82" s="36"/>
      <c r="F82" s="552"/>
      <c r="H82" s="37"/>
      <c r="I82" s="36"/>
      <c r="J82" s="36"/>
      <c r="K82" s="36"/>
      <c r="L82" s="591"/>
      <c r="M82" s="36"/>
      <c r="N82" s="36"/>
      <c r="O82" s="36"/>
      <c r="P82" s="36"/>
      <c r="Q82" s="591"/>
      <c r="R82" s="591"/>
      <c r="S82" s="36"/>
      <c r="T82" s="591"/>
      <c r="U82" s="591"/>
      <c r="V82" s="591"/>
      <c r="W82" s="36"/>
      <c r="X82" s="36"/>
      <c r="Y82" s="36"/>
    </row>
    <row r="83" spans="1:25" x14ac:dyDescent="0.35">
      <c r="A83" s="552"/>
      <c r="B83" s="36"/>
      <c r="C83" s="586"/>
      <c r="D83" s="36"/>
      <c r="E83" s="36"/>
      <c r="F83" s="552"/>
      <c r="H83" s="37"/>
      <c r="I83" s="591"/>
      <c r="J83" s="591"/>
      <c r="K83" s="591"/>
      <c r="L83" s="591"/>
      <c r="M83" s="591"/>
      <c r="N83" s="591"/>
      <c r="O83" s="591"/>
      <c r="P83" s="591"/>
      <c r="Q83" s="591"/>
      <c r="R83" s="591"/>
      <c r="S83" s="591"/>
      <c r="T83" s="591"/>
      <c r="U83" s="591"/>
      <c r="V83" s="591"/>
      <c r="W83" s="36"/>
      <c r="X83" s="36"/>
      <c r="Y83" s="36"/>
    </row>
    <row r="84" spans="1:25" x14ac:dyDescent="0.35">
      <c r="A84" s="552"/>
      <c r="B84" s="36"/>
      <c r="C84" s="586"/>
      <c r="D84" s="36"/>
      <c r="E84" s="36"/>
      <c r="F84" s="552"/>
      <c r="H84" s="37"/>
      <c r="I84" s="36"/>
      <c r="J84" s="36"/>
      <c r="K84" s="36"/>
      <c r="L84" s="591"/>
      <c r="M84" s="36"/>
      <c r="N84" s="36"/>
      <c r="O84" s="36"/>
      <c r="P84" s="36"/>
      <c r="Q84" s="36"/>
      <c r="R84" s="591"/>
      <c r="S84" s="36"/>
      <c r="T84" s="591"/>
      <c r="U84" s="591"/>
      <c r="V84" s="591"/>
      <c r="W84" s="36"/>
      <c r="X84" s="36"/>
      <c r="Y84" s="36"/>
    </row>
    <row r="85" spans="1:25" x14ac:dyDescent="0.35">
      <c r="A85" s="552"/>
      <c r="B85" s="36"/>
      <c r="C85" s="586"/>
      <c r="D85" s="36"/>
      <c r="E85" s="36"/>
      <c r="F85" s="552"/>
      <c r="H85" s="37"/>
      <c r="I85" s="591"/>
      <c r="J85" s="591"/>
      <c r="K85" s="591"/>
      <c r="L85" s="591"/>
      <c r="M85" s="591"/>
      <c r="N85" s="591"/>
      <c r="O85" s="591"/>
      <c r="P85" s="591"/>
      <c r="Q85" s="591"/>
      <c r="R85" s="591"/>
      <c r="S85" s="591"/>
      <c r="T85" s="591"/>
      <c r="U85" s="591"/>
      <c r="V85" s="591"/>
      <c r="W85" s="36"/>
      <c r="X85" s="36"/>
      <c r="Y85" s="36"/>
    </row>
    <row r="86" spans="1:25" x14ac:dyDescent="0.35">
      <c r="A86" s="552"/>
      <c r="B86" s="36"/>
      <c r="C86" s="586"/>
      <c r="D86" s="36"/>
      <c r="E86" s="36"/>
      <c r="F86" s="552"/>
      <c r="H86" s="37"/>
      <c r="I86" s="591"/>
      <c r="J86" s="591"/>
      <c r="K86" s="591"/>
      <c r="L86" s="591"/>
      <c r="M86" s="591"/>
      <c r="N86" s="591"/>
      <c r="O86" s="591"/>
      <c r="P86" s="591"/>
      <c r="Q86" s="591"/>
      <c r="R86" s="591"/>
      <c r="S86" s="591"/>
      <c r="T86" s="591"/>
      <c r="U86" s="591"/>
      <c r="V86" s="591"/>
      <c r="W86" s="36"/>
      <c r="X86" s="36"/>
      <c r="Y86" s="36"/>
    </row>
    <row r="87" spans="1:25" x14ac:dyDescent="0.35">
      <c r="A87" s="552"/>
      <c r="B87" s="36"/>
      <c r="C87" s="586"/>
      <c r="D87" s="36"/>
      <c r="E87" s="36"/>
      <c r="F87" s="552"/>
      <c r="H87" s="37"/>
      <c r="I87" s="591"/>
      <c r="J87" s="591"/>
      <c r="K87" s="591"/>
      <c r="L87" s="591"/>
      <c r="M87" s="591"/>
      <c r="N87" s="591"/>
      <c r="O87" s="591"/>
      <c r="P87" s="591"/>
      <c r="Q87" s="591"/>
      <c r="R87" s="591"/>
      <c r="S87" s="591"/>
      <c r="T87" s="591"/>
      <c r="U87" s="591"/>
      <c r="V87" s="591"/>
      <c r="W87" s="36"/>
      <c r="X87" s="36"/>
      <c r="Y87" s="36"/>
    </row>
    <row r="88" spans="1:25" x14ac:dyDescent="0.35">
      <c r="A88" s="552"/>
      <c r="B88" s="36"/>
      <c r="C88" s="586"/>
      <c r="D88" s="36"/>
      <c r="E88" s="36"/>
      <c r="F88" s="552"/>
      <c r="H88" s="37"/>
      <c r="I88" s="591"/>
      <c r="J88" s="591"/>
      <c r="K88" s="591"/>
      <c r="L88" s="591"/>
      <c r="M88" s="591"/>
      <c r="N88" s="591"/>
      <c r="O88" s="591"/>
      <c r="P88" s="591"/>
      <c r="Q88" s="591"/>
      <c r="R88" s="591"/>
      <c r="S88" s="591"/>
      <c r="T88" s="591"/>
      <c r="U88" s="591"/>
      <c r="V88" s="591"/>
      <c r="W88" s="36"/>
      <c r="X88" s="36"/>
      <c r="Y88" s="36"/>
    </row>
    <row r="89" spans="1:25" x14ac:dyDescent="0.35">
      <c r="A89" s="552"/>
      <c r="B89" s="36"/>
      <c r="C89" s="586"/>
      <c r="D89" s="36"/>
      <c r="E89" s="36"/>
      <c r="F89" s="552"/>
      <c r="H89" s="37"/>
      <c r="I89" s="591"/>
      <c r="J89" s="591"/>
      <c r="K89" s="591"/>
      <c r="L89" s="591"/>
      <c r="M89" s="591"/>
      <c r="N89" s="591"/>
      <c r="O89" s="591"/>
      <c r="P89" s="591"/>
      <c r="Q89" s="591"/>
      <c r="R89" s="591"/>
      <c r="S89" s="591"/>
      <c r="T89" s="591"/>
      <c r="U89" s="591"/>
      <c r="V89" s="591"/>
      <c r="W89" s="36"/>
      <c r="X89" s="36"/>
      <c r="Y89" s="36"/>
    </row>
    <row r="90" spans="1:25" x14ac:dyDescent="0.35">
      <c r="A90" s="552"/>
      <c r="B90" s="36"/>
      <c r="C90" s="586"/>
      <c r="D90" s="36"/>
      <c r="E90" s="36"/>
      <c r="F90" s="552"/>
      <c r="H90" s="37"/>
      <c r="I90" s="591"/>
      <c r="J90" s="591"/>
      <c r="K90" s="591"/>
      <c r="L90" s="591"/>
      <c r="M90" s="591"/>
      <c r="N90" s="591"/>
      <c r="O90" s="591"/>
      <c r="P90" s="591"/>
      <c r="Q90" s="591"/>
      <c r="R90" s="591"/>
      <c r="S90" s="591"/>
      <c r="T90" s="591"/>
      <c r="U90" s="591"/>
      <c r="V90" s="591"/>
      <c r="W90" s="36"/>
      <c r="X90" s="36"/>
      <c r="Y90" s="36"/>
    </row>
    <row r="91" spans="1:25" x14ac:dyDescent="0.35">
      <c r="A91" s="552"/>
      <c r="B91" s="36"/>
      <c r="C91" s="586"/>
      <c r="D91" s="36"/>
      <c r="E91" s="36"/>
      <c r="F91" s="552"/>
      <c r="H91" s="37"/>
      <c r="I91" s="591"/>
      <c r="J91" s="591"/>
      <c r="K91" s="591"/>
      <c r="L91" s="591"/>
      <c r="M91" s="591"/>
      <c r="N91" s="591"/>
      <c r="O91" s="591"/>
      <c r="P91" s="591"/>
      <c r="Q91" s="591"/>
      <c r="R91" s="591"/>
      <c r="S91" s="591"/>
      <c r="T91" s="591"/>
      <c r="U91" s="591"/>
      <c r="V91" s="591"/>
      <c r="W91" s="36"/>
      <c r="X91" s="36"/>
      <c r="Y91" s="36"/>
    </row>
    <row r="92" spans="1:25" x14ac:dyDescent="0.35">
      <c r="A92" s="552"/>
      <c r="F92" s="552"/>
      <c r="I92" s="554"/>
      <c r="J92" s="554"/>
      <c r="K92" s="554"/>
      <c r="M92" s="554"/>
      <c r="N92" s="554"/>
      <c r="O92" s="554"/>
      <c r="P92" s="554"/>
      <c r="Q92" s="554"/>
      <c r="S92" s="554"/>
    </row>
    <row r="93" spans="1:25" x14ac:dyDescent="0.35">
      <c r="A93" s="552"/>
      <c r="F93" s="552"/>
      <c r="I93" s="554"/>
      <c r="J93" s="554"/>
      <c r="K93" s="554"/>
      <c r="M93" s="554"/>
      <c r="N93" s="554"/>
      <c r="O93" s="554"/>
      <c r="P93" s="554"/>
      <c r="Q93" s="554"/>
      <c r="S93" s="554"/>
    </row>
    <row r="94" spans="1:25" x14ac:dyDescent="0.35">
      <c r="A94" s="552"/>
      <c r="F94" s="552"/>
      <c r="I94" s="554"/>
      <c r="J94" s="554"/>
      <c r="K94" s="554"/>
      <c r="M94" s="554"/>
      <c r="N94" s="554"/>
      <c r="O94" s="554"/>
      <c r="P94" s="554"/>
      <c r="Q94" s="554"/>
      <c r="S94" s="554"/>
    </row>
    <row r="95" spans="1:25" x14ac:dyDescent="0.35">
      <c r="A95" s="552"/>
      <c r="C95" s="552"/>
      <c r="E95" s="554"/>
      <c r="F95" s="552"/>
      <c r="G95" s="562"/>
      <c r="I95" s="554"/>
      <c r="J95" s="554"/>
      <c r="K95" s="554"/>
      <c r="M95" s="554"/>
      <c r="N95" s="554"/>
      <c r="O95" s="554"/>
      <c r="P95" s="554"/>
      <c r="Q95" s="554"/>
      <c r="S95" s="554"/>
    </row>
    <row r="96" spans="1:25" x14ac:dyDescent="0.35">
      <c r="A96" s="552"/>
      <c r="C96" s="552"/>
      <c r="E96" s="554"/>
      <c r="F96" s="552"/>
      <c r="G96" s="562"/>
      <c r="I96" s="554"/>
      <c r="J96" s="554"/>
      <c r="K96" s="554"/>
      <c r="M96" s="554"/>
      <c r="N96" s="554"/>
      <c r="O96" s="554"/>
      <c r="P96" s="554"/>
      <c r="Q96" s="554"/>
      <c r="S96" s="554"/>
    </row>
    <row r="97" spans="1:19" x14ac:dyDescent="0.35">
      <c r="A97" s="552"/>
      <c r="C97" s="552"/>
      <c r="E97" s="554"/>
      <c r="F97" s="552"/>
      <c r="G97" s="562"/>
      <c r="I97" s="554"/>
      <c r="J97" s="554"/>
      <c r="K97" s="554"/>
      <c r="M97" s="554"/>
      <c r="N97" s="554"/>
      <c r="O97" s="554"/>
      <c r="P97" s="554"/>
      <c r="Q97" s="554"/>
      <c r="S97" s="554"/>
    </row>
    <row r="98" spans="1:19" x14ac:dyDescent="0.35">
      <c r="A98" s="552"/>
      <c r="C98" s="552"/>
      <c r="E98" s="554"/>
      <c r="F98" s="552"/>
      <c r="G98" s="562"/>
      <c r="I98" s="554"/>
      <c r="J98" s="554"/>
      <c r="K98" s="554"/>
      <c r="M98" s="554"/>
      <c r="N98" s="554"/>
      <c r="O98" s="554"/>
      <c r="P98" s="554"/>
      <c r="Q98" s="554"/>
      <c r="S98" s="554"/>
    </row>
    <row r="99" spans="1:19" x14ac:dyDescent="0.35">
      <c r="A99" s="552"/>
      <c r="F99" s="552"/>
      <c r="I99" s="554"/>
      <c r="J99" s="554"/>
      <c r="K99" s="554"/>
      <c r="M99" s="554"/>
      <c r="N99" s="554"/>
      <c r="O99" s="554"/>
      <c r="P99" s="554"/>
      <c r="Q99" s="554"/>
      <c r="S99" s="554"/>
    </row>
    <row r="100" spans="1:19" x14ac:dyDescent="0.35">
      <c r="A100" s="552"/>
      <c r="F100" s="552"/>
      <c r="I100" s="554"/>
      <c r="J100" s="554"/>
      <c r="K100" s="554"/>
      <c r="M100" s="554"/>
      <c r="N100" s="554"/>
      <c r="O100" s="554"/>
      <c r="P100" s="554"/>
      <c r="Q100" s="554"/>
      <c r="S100" s="554"/>
    </row>
    <row r="101" spans="1:19" x14ac:dyDescent="0.35">
      <c r="A101" s="552"/>
      <c r="F101" s="552"/>
      <c r="I101" s="554"/>
      <c r="J101" s="554"/>
      <c r="K101" s="554"/>
      <c r="M101" s="554"/>
      <c r="N101" s="554"/>
      <c r="O101" s="554"/>
      <c r="P101" s="554"/>
      <c r="Q101" s="554"/>
      <c r="S101" s="554"/>
    </row>
    <row r="102" spans="1:19" x14ac:dyDescent="0.35">
      <c r="A102" s="552"/>
      <c r="F102" s="552"/>
      <c r="I102" s="554"/>
      <c r="J102" s="554"/>
      <c r="K102" s="554"/>
      <c r="M102" s="554"/>
      <c r="N102" s="554"/>
      <c r="O102" s="554"/>
      <c r="P102" s="554"/>
      <c r="Q102" s="554"/>
      <c r="S102" s="554"/>
    </row>
    <row r="103" spans="1:19" x14ac:dyDescent="0.35">
      <c r="A103" s="552"/>
      <c r="F103" s="552"/>
      <c r="I103" s="554"/>
      <c r="J103" s="554"/>
      <c r="K103" s="554"/>
      <c r="M103" s="554"/>
      <c r="N103" s="554"/>
      <c r="O103" s="554"/>
      <c r="P103" s="554"/>
      <c r="Q103" s="554"/>
      <c r="S103" s="554"/>
    </row>
    <row r="104" spans="1:19" x14ac:dyDescent="0.35">
      <c r="A104" s="552"/>
      <c r="F104" s="552"/>
      <c r="I104" s="554"/>
      <c r="J104" s="554"/>
      <c r="K104" s="554"/>
      <c r="M104" s="554"/>
      <c r="N104" s="554"/>
      <c r="O104" s="554"/>
      <c r="P104" s="554"/>
      <c r="Q104" s="554"/>
      <c r="S104" s="554"/>
    </row>
    <row r="105" spans="1:19" x14ac:dyDescent="0.35">
      <c r="A105" s="552"/>
      <c r="F105" s="552"/>
      <c r="I105" s="554"/>
      <c r="J105" s="554"/>
      <c r="K105" s="554"/>
      <c r="M105" s="554"/>
      <c r="N105" s="554"/>
      <c r="O105" s="554"/>
      <c r="P105" s="554"/>
      <c r="Q105" s="554"/>
      <c r="S105" s="554"/>
    </row>
    <row r="106" spans="1:19" x14ac:dyDescent="0.35">
      <c r="A106" s="552"/>
      <c r="C106" s="552"/>
      <c r="F106" s="552"/>
      <c r="H106" s="552"/>
      <c r="I106" s="554"/>
      <c r="J106" s="554"/>
      <c r="K106" s="554"/>
      <c r="M106" s="554"/>
      <c r="N106" s="554"/>
      <c r="O106" s="554"/>
      <c r="P106" s="554"/>
      <c r="Q106" s="554"/>
      <c r="S106" s="554"/>
    </row>
    <row r="107" spans="1:19" x14ac:dyDescent="0.35">
      <c r="A107" s="552"/>
      <c r="C107" s="552"/>
      <c r="F107" s="552"/>
      <c r="H107" s="552"/>
      <c r="I107" s="554"/>
      <c r="J107" s="554"/>
      <c r="K107" s="554"/>
      <c r="M107" s="554"/>
      <c r="N107" s="554"/>
      <c r="O107" s="554"/>
      <c r="P107" s="554"/>
      <c r="Q107" s="554"/>
      <c r="S107" s="554"/>
    </row>
    <row r="108" spans="1:19" x14ac:dyDescent="0.35">
      <c r="A108" s="552"/>
      <c r="C108" s="552"/>
      <c r="F108" s="552"/>
      <c r="H108" s="552"/>
      <c r="I108" s="554"/>
      <c r="J108" s="554"/>
      <c r="K108" s="554"/>
      <c r="M108" s="554"/>
      <c r="N108" s="554"/>
      <c r="O108" s="554"/>
      <c r="P108" s="554"/>
      <c r="Q108" s="554"/>
      <c r="S108" s="554"/>
    </row>
    <row r="109" spans="1:19" x14ac:dyDescent="0.35">
      <c r="A109" s="552"/>
      <c r="C109" s="552"/>
      <c r="F109" s="552"/>
      <c r="H109" s="552"/>
      <c r="I109" s="554"/>
      <c r="J109" s="554"/>
      <c r="K109" s="554"/>
      <c r="M109" s="554"/>
      <c r="N109" s="554"/>
      <c r="O109" s="554"/>
      <c r="P109" s="554"/>
      <c r="Q109" s="554"/>
      <c r="S109" s="554"/>
    </row>
    <row r="110" spans="1:19" x14ac:dyDescent="0.35">
      <c r="A110" s="552"/>
      <c r="C110" s="552"/>
      <c r="F110" s="552"/>
      <c r="H110" s="552"/>
      <c r="I110" s="554"/>
      <c r="J110" s="554"/>
      <c r="K110" s="554"/>
      <c r="M110" s="554"/>
      <c r="N110" s="554"/>
      <c r="O110" s="554"/>
      <c r="P110" s="554"/>
      <c r="Q110" s="554"/>
      <c r="S110" s="554"/>
    </row>
    <row r="111" spans="1:19" x14ac:dyDescent="0.35">
      <c r="A111" s="552"/>
      <c r="C111" s="552"/>
      <c r="F111" s="552"/>
      <c r="H111" s="552"/>
      <c r="I111" s="554"/>
      <c r="J111" s="554"/>
      <c r="K111" s="554"/>
      <c r="M111" s="554"/>
      <c r="N111" s="554"/>
      <c r="O111" s="554"/>
      <c r="P111" s="554"/>
      <c r="Q111" s="554"/>
      <c r="S111" s="554"/>
    </row>
    <row r="112" spans="1:19" x14ac:dyDescent="0.35">
      <c r="A112" s="552"/>
      <c r="C112" s="552"/>
      <c r="F112" s="552"/>
      <c r="H112" s="552"/>
      <c r="I112" s="554"/>
      <c r="J112" s="554"/>
      <c r="K112" s="554"/>
      <c r="M112" s="554"/>
      <c r="N112" s="554"/>
      <c r="O112" s="554"/>
      <c r="P112" s="554"/>
      <c r="Q112" s="554"/>
      <c r="S112" s="554"/>
    </row>
    <row r="113" spans="1:22" x14ac:dyDescent="0.35">
      <c r="A113" s="552"/>
      <c r="C113" s="552"/>
      <c r="F113" s="552"/>
      <c r="H113" s="552"/>
      <c r="I113" s="554"/>
      <c r="J113" s="554"/>
      <c r="K113" s="554"/>
      <c r="M113" s="554"/>
      <c r="N113" s="554"/>
      <c r="O113" s="554"/>
      <c r="P113" s="554"/>
      <c r="Q113" s="554"/>
      <c r="S113" s="554"/>
    </row>
    <row r="114" spans="1:22" x14ac:dyDescent="0.35">
      <c r="A114" s="552"/>
      <c r="C114" s="552"/>
      <c r="F114" s="552"/>
      <c r="H114" s="552"/>
      <c r="I114" s="554"/>
      <c r="J114" s="554"/>
      <c r="K114" s="554"/>
      <c r="M114" s="554"/>
      <c r="N114" s="554"/>
      <c r="O114" s="554"/>
      <c r="P114" s="554"/>
      <c r="Q114" s="554"/>
      <c r="S114" s="554"/>
    </row>
    <row r="115" spans="1:22" x14ac:dyDescent="0.35">
      <c r="A115" s="552"/>
      <c r="C115" s="552"/>
      <c r="F115" s="552"/>
      <c r="H115" s="552"/>
      <c r="I115" s="554"/>
      <c r="J115" s="554"/>
      <c r="K115" s="554"/>
      <c r="M115" s="554"/>
      <c r="N115" s="554"/>
      <c r="O115" s="554"/>
      <c r="P115" s="554"/>
      <c r="Q115" s="554"/>
      <c r="S115" s="554"/>
    </row>
    <row r="116" spans="1:22" x14ac:dyDescent="0.35">
      <c r="A116" s="552"/>
      <c r="C116" s="552"/>
      <c r="F116" s="552"/>
      <c r="H116" s="552"/>
      <c r="I116" s="554"/>
      <c r="J116" s="554"/>
      <c r="K116" s="554"/>
      <c r="M116" s="554"/>
      <c r="N116" s="554"/>
      <c r="O116" s="554"/>
      <c r="P116" s="554"/>
      <c r="Q116" s="554"/>
      <c r="S116" s="554"/>
    </row>
    <row r="117" spans="1:22" x14ac:dyDescent="0.35">
      <c r="A117" s="552"/>
      <c r="C117" s="552"/>
      <c r="F117" s="552"/>
      <c r="H117" s="552"/>
      <c r="I117" s="554"/>
      <c r="J117" s="554"/>
      <c r="K117" s="554"/>
      <c r="M117" s="554"/>
      <c r="N117" s="554"/>
      <c r="O117" s="554"/>
      <c r="P117" s="554"/>
      <c r="Q117" s="554"/>
      <c r="S117" s="554"/>
    </row>
    <row r="118" spans="1:22" x14ac:dyDescent="0.35">
      <c r="A118" s="552"/>
      <c r="C118" s="552"/>
      <c r="F118" s="552"/>
      <c r="H118" s="552"/>
      <c r="I118" s="554"/>
      <c r="J118" s="554"/>
      <c r="K118" s="554"/>
      <c r="M118" s="554"/>
      <c r="N118" s="554"/>
      <c r="O118" s="554"/>
      <c r="P118" s="554"/>
      <c r="Q118" s="554"/>
      <c r="S118" s="554"/>
    </row>
    <row r="119" spans="1:22" x14ac:dyDescent="0.35">
      <c r="A119" s="552"/>
      <c r="C119" s="552"/>
      <c r="F119" s="552"/>
      <c r="H119" s="552"/>
      <c r="I119" s="554"/>
      <c r="J119" s="554"/>
      <c r="K119" s="554"/>
      <c r="M119" s="554"/>
      <c r="N119" s="554"/>
      <c r="O119" s="554"/>
      <c r="P119" s="554"/>
      <c r="Q119" s="554"/>
      <c r="S119" s="554"/>
    </row>
    <row r="120" spans="1:22" x14ac:dyDescent="0.35">
      <c r="A120" s="552"/>
      <c r="C120" s="552"/>
      <c r="F120" s="552"/>
      <c r="H120" s="552"/>
      <c r="I120" s="554"/>
      <c r="J120" s="554"/>
      <c r="K120" s="554"/>
      <c r="M120" s="554"/>
      <c r="N120" s="554"/>
      <c r="O120" s="554"/>
      <c r="P120" s="554"/>
      <c r="Q120" s="554"/>
      <c r="S120" s="554"/>
    </row>
    <row r="121" spans="1:22" x14ac:dyDescent="0.35">
      <c r="A121" s="552"/>
      <c r="C121" s="552"/>
      <c r="F121" s="552"/>
      <c r="H121" s="552"/>
      <c r="I121" s="554"/>
      <c r="J121" s="554"/>
      <c r="K121" s="554"/>
      <c r="M121" s="554"/>
      <c r="N121" s="554"/>
      <c r="O121" s="554"/>
      <c r="P121" s="554"/>
      <c r="Q121" s="554"/>
      <c r="S121" s="554"/>
    </row>
    <row r="122" spans="1:22" x14ac:dyDescent="0.35">
      <c r="A122" s="552"/>
      <c r="C122" s="552"/>
      <c r="F122" s="552"/>
      <c r="H122" s="552"/>
      <c r="I122" s="554"/>
      <c r="J122" s="554"/>
      <c r="K122" s="554"/>
      <c r="M122" s="554"/>
      <c r="N122" s="554"/>
      <c r="O122" s="554"/>
      <c r="P122" s="554"/>
      <c r="Q122" s="554"/>
      <c r="R122" s="552"/>
      <c r="S122" s="554"/>
      <c r="T122" s="552"/>
      <c r="U122" s="552"/>
      <c r="V122" s="552"/>
    </row>
    <row r="123" spans="1:22" x14ac:dyDescent="0.35">
      <c r="A123" s="552"/>
      <c r="C123" s="552"/>
      <c r="F123" s="552"/>
      <c r="H123" s="552"/>
      <c r="I123" s="554"/>
      <c r="J123" s="554"/>
      <c r="K123" s="554"/>
      <c r="M123" s="554"/>
      <c r="N123" s="554"/>
      <c r="O123" s="554"/>
      <c r="P123" s="554"/>
      <c r="Q123" s="554"/>
      <c r="R123" s="552"/>
      <c r="S123" s="554"/>
      <c r="T123" s="552"/>
      <c r="U123" s="552"/>
      <c r="V123" s="552"/>
    </row>
    <row r="124" spans="1:22" x14ac:dyDescent="0.35">
      <c r="A124" s="552"/>
      <c r="C124" s="552"/>
      <c r="F124" s="552"/>
      <c r="H124" s="552"/>
      <c r="I124" s="554"/>
      <c r="J124" s="554"/>
      <c r="K124" s="554"/>
      <c r="M124" s="554"/>
      <c r="N124" s="554"/>
      <c r="O124" s="554"/>
      <c r="P124" s="554"/>
      <c r="Q124" s="554"/>
      <c r="R124" s="552"/>
      <c r="S124" s="554"/>
      <c r="T124" s="552"/>
      <c r="U124" s="552"/>
      <c r="V124" s="552"/>
    </row>
    <row r="125" spans="1:22" x14ac:dyDescent="0.35">
      <c r="A125" s="552"/>
      <c r="C125" s="552"/>
      <c r="F125" s="552"/>
      <c r="H125" s="552"/>
      <c r="I125" s="554"/>
      <c r="J125" s="554"/>
      <c r="K125" s="554"/>
      <c r="M125" s="554"/>
      <c r="N125" s="554"/>
      <c r="O125" s="554"/>
      <c r="P125" s="554"/>
      <c r="Q125" s="554"/>
      <c r="R125" s="552"/>
      <c r="S125" s="554"/>
      <c r="T125" s="552"/>
      <c r="U125" s="552"/>
      <c r="V125" s="552"/>
    </row>
    <row r="126" spans="1:22" x14ac:dyDescent="0.35">
      <c r="A126" s="552"/>
      <c r="C126" s="552"/>
      <c r="F126" s="552"/>
      <c r="H126" s="552"/>
      <c r="I126" s="554"/>
      <c r="J126" s="554"/>
      <c r="K126" s="554"/>
      <c r="M126" s="554"/>
      <c r="N126" s="554"/>
      <c r="O126" s="554"/>
      <c r="P126" s="554"/>
      <c r="Q126" s="554"/>
      <c r="R126" s="552"/>
      <c r="S126" s="554"/>
      <c r="T126" s="552"/>
      <c r="U126" s="552"/>
      <c r="V126" s="552"/>
    </row>
    <row r="127" spans="1:22" x14ac:dyDescent="0.35">
      <c r="A127" s="552"/>
      <c r="C127" s="552"/>
      <c r="F127" s="552"/>
      <c r="H127" s="552"/>
      <c r="I127" s="554"/>
      <c r="J127" s="554"/>
      <c r="K127" s="554"/>
      <c r="M127" s="554"/>
      <c r="N127" s="554"/>
      <c r="O127" s="554"/>
      <c r="P127" s="554"/>
      <c r="Q127" s="554"/>
      <c r="R127" s="552"/>
      <c r="S127" s="554"/>
      <c r="T127" s="552"/>
      <c r="U127" s="552"/>
      <c r="V127" s="552"/>
    </row>
    <row r="128" spans="1:22" x14ac:dyDescent="0.35">
      <c r="A128" s="552"/>
      <c r="C128" s="552"/>
      <c r="F128" s="552"/>
      <c r="H128" s="552"/>
      <c r="I128" s="554"/>
      <c r="J128" s="554"/>
      <c r="K128" s="554"/>
      <c r="M128" s="554"/>
      <c r="N128" s="554"/>
      <c r="O128" s="554"/>
      <c r="P128" s="554"/>
      <c r="Q128" s="554"/>
      <c r="R128" s="552"/>
      <c r="S128" s="554"/>
      <c r="T128" s="552"/>
      <c r="U128" s="552"/>
      <c r="V128" s="552"/>
    </row>
    <row r="129" spans="1:22" x14ac:dyDescent="0.35">
      <c r="A129" s="552"/>
      <c r="C129" s="552"/>
      <c r="F129" s="552"/>
      <c r="H129" s="552"/>
      <c r="I129" s="554"/>
      <c r="J129" s="554"/>
      <c r="K129" s="554"/>
      <c r="M129" s="554"/>
      <c r="N129" s="554"/>
      <c r="O129" s="554"/>
      <c r="P129" s="554"/>
      <c r="Q129" s="554"/>
      <c r="R129" s="552"/>
      <c r="S129" s="554"/>
      <c r="T129" s="552"/>
      <c r="U129" s="552"/>
      <c r="V129" s="552"/>
    </row>
    <row r="130" spans="1:22" x14ac:dyDescent="0.35">
      <c r="A130" s="552"/>
      <c r="C130" s="552"/>
      <c r="F130" s="552"/>
      <c r="H130" s="552"/>
      <c r="I130" s="554"/>
      <c r="J130" s="554"/>
      <c r="K130" s="554"/>
      <c r="M130" s="554"/>
      <c r="N130" s="554"/>
      <c r="O130" s="554"/>
      <c r="P130" s="554"/>
      <c r="Q130" s="554"/>
      <c r="R130" s="552"/>
      <c r="S130" s="554"/>
      <c r="T130" s="552"/>
      <c r="U130" s="552"/>
      <c r="V130" s="552"/>
    </row>
    <row r="131" spans="1:22" x14ac:dyDescent="0.35">
      <c r="A131" s="552"/>
      <c r="C131" s="552"/>
      <c r="F131" s="552"/>
      <c r="H131" s="552"/>
      <c r="I131" s="554"/>
      <c r="J131" s="554"/>
      <c r="K131" s="554"/>
      <c r="M131" s="554"/>
      <c r="N131" s="554"/>
      <c r="O131" s="554"/>
      <c r="P131" s="554"/>
      <c r="Q131" s="554"/>
      <c r="R131" s="552"/>
      <c r="S131" s="554"/>
      <c r="T131" s="552"/>
      <c r="U131" s="552"/>
      <c r="V131" s="552"/>
    </row>
    <row r="132" spans="1:22" x14ac:dyDescent="0.35">
      <c r="A132" s="552"/>
      <c r="C132" s="552"/>
      <c r="F132" s="552"/>
      <c r="H132" s="552"/>
      <c r="I132" s="554"/>
      <c r="J132" s="554"/>
      <c r="K132" s="554"/>
      <c r="M132" s="554"/>
      <c r="N132" s="554"/>
      <c r="O132" s="554"/>
      <c r="P132" s="554"/>
      <c r="Q132" s="554"/>
      <c r="R132" s="552"/>
      <c r="S132" s="554"/>
      <c r="T132" s="552"/>
      <c r="U132" s="552"/>
      <c r="V132" s="552"/>
    </row>
    <row r="133" spans="1:22" x14ac:dyDescent="0.35">
      <c r="A133" s="552"/>
      <c r="C133" s="552"/>
      <c r="F133" s="552"/>
      <c r="H133" s="552"/>
      <c r="I133" s="554"/>
      <c r="J133" s="554"/>
      <c r="K133" s="554"/>
      <c r="M133" s="554"/>
      <c r="N133" s="554"/>
      <c r="O133" s="554"/>
      <c r="P133" s="554"/>
      <c r="Q133" s="554"/>
      <c r="R133" s="552"/>
      <c r="S133" s="554"/>
      <c r="T133" s="552"/>
      <c r="U133" s="552"/>
      <c r="V133" s="552"/>
    </row>
    <row r="134" spans="1:22" x14ac:dyDescent="0.35">
      <c r="A134" s="552"/>
      <c r="C134" s="552"/>
      <c r="F134" s="552"/>
      <c r="H134" s="552"/>
      <c r="I134" s="554"/>
      <c r="J134" s="554"/>
      <c r="K134" s="554"/>
      <c r="M134" s="554"/>
      <c r="N134" s="554"/>
      <c r="O134" s="554"/>
      <c r="P134" s="554"/>
      <c r="Q134" s="554"/>
      <c r="R134" s="552"/>
      <c r="S134" s="554"/>
      <c r="T134" s="552"/>
      <c r="U134" s="552"/>
      <c r="V134" s="552"/>
    </row>
    <row r="135" spans="1:22" x14ac:dyDescent="0.35">
      <c r="A135" s="552"/>
      <c r="C135" s="552"/>
      <c r="F135" s="552"/>
      <c r="H135" s="552"/>
      <c r="I135" s="554"/>
      <c r="J135" s="554"/>
      <c r="K135" s="554"/>
      <c r="M135" s="554"/>
      <c r="N135" s="554"/>
      <c r="O135" s="554"/>
      <c r="P135" s="554"/>
      <c r="Q135" s="554"/>
      <c r="R135" s="552"/>
      <c r="S135" s="554"/>
      <c r="T135" s="552"/>
      <c r="U135" s="552"/>
      <c r="V135" s="552"/>
    </row>
    <row r="136" spans="1:22" x14ac:dyDescent="0.35">
      <c r="A136" s="552"/>
      <c r="C136" s="552"/>
      <c r="F136" s="552"/>
      <c r="H136" s="552"/>
      <c r="I136" s="554"/>
      <c r="J136" s="554"/>
      <c r="K136" s="554"/>
      <c r="M136" s="554"/>
      <c r="N136" s="554"/>
      <c r="O136" s="554"/>
      <c r="P136" s="554"/>
      <c r="Q136" s="554"/>
      <c r="R136" s="552"/>
      <c r="S136" s="554"/>
      <c r="T136" s="552"/>
      <c r="U136" s="552"/>
      <c r="V136" s="552"/>
    </row>
    <row r="137" spans="1:22" x14ac:dyDescent="0.35">
      <c r="A137" s="552"/>
      <c r="C137" s="552"/>
      <c r="F137" s="552"/>
      <c r="H137" s="552"/>
      <c r="I137" s="554"/>
      <c r="J137" s="554"/>
      <c r="K137" s="554"/>
      <c r="M137" s="554"/>
      <c r="N137" s="554"/>
      <c r="O137" s="554"/>
      <c r="P137" s="554"/>
      <c r="Q137" s="554"/>
      <c r="R137" s="552"/>
      <c r="S137" s="554"/>
      <c r="T137" s="552"/>
      <c r="U137" s="552"/>
      <c r="V137" s="552"/>
    </row>
    <row r="138" spans="1:22" x14ac:dyDescent="0.35">
      <c r="A138" s="552"/>
      <c r="C138" s="552"/>
      <c r="F138" s="552"/>
      <c r="H138" s="552"/>
      <c r="I138" s="554"/>
      <c r="J138" s="554"/>
      <c r="K138" s="554"/>
      <c r="M138" s="554"/>
      <c r="N138" s="554"/>
      <c r="O138" s="554"/>
      <c r="P138" s="554"/>
      <c r="Q138" s="554"/>
      <c r="R138" s="552"/>
      <c r="S138" s="554"/>
      <c r="T138" s="552"/>
      <c r="U138" s="552"/>
      <c r="V138" s="552"/>
    </row>
    <row r="139" spans="1:22" x14ac:dyDescent="0.35">
      <c r="A139" s="552"/>
      <c r="C139" s="552"/>
      <c r="F139" s="552"/>
      <c r="H139" s="552"/>
      <c r="I139" s="554"/>
      <c r="J139" s="554"/>
      <c r="K139" s="554"/>
      <c r="M139" s="554"/>
      <c r="N139" s="554"/>
      <c r="O139" s="554"/>
      <c r="P139" s="554"/>
      <c r="Q139" s="554"/>
      <c r="R139" s="552"/>
      <c r="S139" s="554"/>
      <c r="T139" s="552"/>
      <c r="U139" s="552"/>
      <c r="V139" s="552"/>
    </row>
    <row r="140" spans="1:22" x14ac:dyDescent="0.35">
      <c r="A140" s="552"/>
      <c r="C140" s="552"/>
      <c r="F140" s="552"/>
      <c r="H140" s="552"/>
      <c r="I140" s="554"/>
      <c r="J140" s="554"/>
      <c r="K140" s="554"/>
      <c r="M140" s="554"/>
      <c r="N140" s="554"/>
      <c r="O140" s="554"/>
      <c r="P140" s="554"/>
      <c r="Q140" s="554"/>
      <c r="R140" s="552"/>
      <c r="S140" s="554"/>
      <c r="T140" s="552"/>
      <c r="U140" s="552"/>
      <c r="V140" s="552"/>
    </row>
    <row r="141" spans="1:22" x14ac:dyDescent="0.35">
      <c r="A141" s="552"/>
      <c r="C141" s="552"/>
      <c r="F141" s="552"/>
      <c r="H141" s="552"/>
      <c r="I141" s="554"/>
      <c r="J141" s="554"/>
      <c r="K141" s="554"/>
      <c r="M141" s="554"/>
      <c r="N141" s="554"/>
      <c r="O141" s="554"/>
      <c r="P141" s="554"/>
      <c r="Q141" s="554"/>
      <c r="R141" s="552"/>
      <c r="S141" s="554"/>
      <c r="T141" s="552"/>
      <c r="U141" s="552"/>
      <c r="V141" s="552"/>
    </row>
    <row r="142" spans="1:22" x14ac:dyDescent="0.35">
      <c r="A142" s="552"/>
      <c r="C142" s="552"/>
      <c r="F142" s="552"/>
      <c r="H142" s="552"/>
      <c r="I142" s="554"/>
      <c r="J142" s="554"/>
      <c r="K142" s="554"/>
      <c r="M142" s="554"/>
      <c r="N142" s="554"/>
      <c r="O142" s="554"/>
      <c r="P142" s="554"/>
      <c r="Q142" s="554"/>
      <c r="R142" s="552"/>
      <c r="S142" s="554"/>
      <c r="T142" s="552"/>
      <c r="U142" s="552"/>
      <c r="V142" s="552"/>
    </row>
    <row r="143" spans="1:22" x14ac:dyDescent="0.35">
      <c r="A143" s="552"/>
      <c r="C143" s="552"/>
      <c r="F143" s="552"/>
      <c r="H143" s="552"/>
      <c r="I143" s="554"/>
      <c r="J143" s="554"/>
      <c r="K143" s="554"/>
      <c r="M143" s="554"/>
      <c r="N143" s="554"/>
      <c r="O143" s="554"/>
      <c r="P143" s="554"/>
      <c r="Q143" s="554"/>
      <c r="R143" s="552"/>
      <c r="S143" s="554"/>
      <c r="T143" s="552"/>
      <c r="U143" s="552"/>
      <c r="V143" s="552"/>
    </row>
    <row r="144" spans="1:22" x14ac:dyDescent="0.35">
      <c r="A144" s="552"/>
      <c r="C144" s="552"/>
      <c r="F144" s="552"/>
      <c r="H144" s="552"/>
      <c r="I144" s="554"/>
      <c r="J144" s="554"/>
      <c r="K144" s="554"/>
      <c r="M144" s="554"/>
      <c r="N144" s="554"/>
      <c r="O144" s="554"/>
      <c r="P144" s="554"/>
      <c r="Q144" s="554"/>
      <c r="R144" s="552"/>
      <c r="S144" s="554"/>
      <c r="T144" s="552"/>
      <c r="U144" s="552"/>
      <c r="V144" s="552"/>
    </row>
    <row r="145" spans="1:22" x14ac:dyDescent="0.35">
      <c r="A145" s="552"/>
      <c r="C145" s="552"/>
      <c r="F145" s="552"/>
      <c r="H145" s="552"/>
      <c r="I145" s="554"/>
      <c r="J145" s="554"/>
      <c r="K145" s="554"/>
      <c r="M145" s="554"/>
      <c r="N145" s="554"/>
      <c r="O145" s="554"/>
      <c r="P145" s="554"/>
      <c r="Q145" s="554"/>
      <c r="R145" s="552"/>
      <c r="S145" s="554"/>
      <c r="T145" s="552"/>
      <c r="U145" s="552"/>
      <c r="V145" s="552"/>
    </row>
    <row r="146" spans="1:22" x14ac:dyDescent="0.35">
      <c r="A146" s="552"/>
      <c r="C146" s="552"/>
      <c r="F146" s="552"/>
      <c r="H146" s="552"/>
      <c r="I146" s="554"/>
      <c r="J146" s="554"/>
      <c r="K146" s="554"/>
      <c r="M146" s="554"/>
      <c r="N146" s="554"/>
      <c r="O146" s="554"/>
      <c r="P146" s="554"/>
      <c r="Q146" s="554"/>
      <c r="R146" s="552"/>
      <c r="S146" s="554"/>
      <c r="T146" s="552"/>
      <c r="U146" s="552"/>
      <c r="V146" s="552"/>
    </row>
    <row r="147" spans="1:22" x14ac:dyDescent="0.35">
      <c r="A147" s="552"/>
      <c r="C147" s="552"/>
      <c r="F147" s="552"/>
      <c r="H147" s="552"/>
      <c r="I147" s="554"/>
      <c r="J147" s="554"/>
      <c r="K147" s="554"/>
      <c r="M147" s="554"/>
      <c r="N147" s="554"/>
      <c r="O147" s="554"/>
      <c r="P147" s="554"/>
      <c r="Q147" s="554"/>
      <c r="R147" s="552"/>
      <c r="S147" s="554"/>
      <c r="T147" s="552"/>
      <c r="U147" s="552"/>
      <c r="V147" s="552"/>
    </row>
    <row r="148" spans="1:22" x14ac:dyDescent="0.35">
      <c r="A148" s="552"/>
      <c r="C148" s="552"/>
      <c r="F148" s="552"/>
      <c r="H148" s="552"/>
      <c r="I148" s="554"/>
      <c r="J148" s="554"/>
      <c r="K148" s="554"/>
      <c r="M148" s="554"/>
      <c r="N148" s="554"/>
      <c r="O148" s="554"/>
      <c r="P148" s="554"/>
      <c r="Q148" s="554"/>
      <c r="R148" s="552"/>
      <c r="S148" s="554"/>
      <c r="T148" s="552"/>
      <c r="U148" s="552"/>
      <c r="V148" s="552"/>
    </row>
    <row r="149" spans="1:22" x14ac:dyDescent="0.35">
      <c r="A149" s="552"/>
      <c r="C149" s="552"/>
      <c r="F149" s="552"/>
      <c r="H149" s="552"/>
      <c r="I149" s="554"/>
      <c r="J149" s="554"/>
      <c r="K149" s="554"/>
      <c r="M149" s="554"/>
      <c r="N149" s="554"/>
      <c r="O149" s="554"/>
      <c r="P149" s="554"/>
      <c r="Q149" s="554"/>
      <c r="R149" s="552"/>
      <c r="S149" s="554"/>
      <c r="T149" s="552"/>
      <c r="U149" s="552"/>
      <c r="V149" s="552"/>
    </row>
    <row r="150" spans="1:22" x14ac:dyDescent="0.35">
      <c r="A150" s="552"/>
      <c r="C150" s="552"/>
      <c r="F150" s="552"/>
      <c r="H150" s="552"/>
      <c r="I150" s="554"/>
      <c r="J150" s="554"/>
      <c r="K150" s="554"/>
      <c r="M150" s="554"/>
      <c r="N150" s="554"/>
      <c r="O150" s="554"/>
      <c r="P150" s="554"/>
      <c r="Q150" s="554"/>
      <c r="R150" s="552"/>
      <c r="S150" s="554"/>
      <c r="T150" s="552"/>
      <c r="U150" s="552"/>
      <c r="V150" s="552"/>
    </row>
  </sheetData>
  <sortState xmlns:xlrd2="http://schemas.microsoft.com/office/spreadsheetml/2017/richdata2" ref="A6:Y32">
    <sortCondition ref="H6:H32"/>
  </sortState>
  <mergeCells count="1">
    <mergeCell ref="P3:Q3"/>
  </mergeCells>
  <pageMargins left="0.7" right="0.7" top="0.75" bottom="0.75" header="0.3" footer="0.3"/>
  <pageSetup paperSize="9" scale="6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Precept request form 2024 25</vt:lpstr>
      <vt:lpstr>Budget 2023 24</vt:lpstr>
      <vt:lpstr>YTD Budget 2024 25</vt:lpstr>
      <vt:lpstr>Unity Trust Bank</vt:lpstr>
      <vt:lpstr>Natwest Expenses</vt:lpstr>
      <vt:lpstr>Natwest Income</vt:lpstr>
      <vt:lpstr>Payments List</vt:lpstr>
      <vt:lpstr>Bank Rec</vt:lpstr>
      <vt:lpstr>VAT Reclaim 1</vt:lpstr>
      <vt:lpstr>Asset Register</vt:lpstr>
      <vt:lpstr>Profit &amp; Loss</vt:lpstr>
      <vt:lpstr>Balance sheet</vt:lpstr>
      <vt:lpstr>Grants</vt:lpstr>
      <vt:lpstr>Reimbursement claim</vt:lpstr>
      <vt:lpstr>'Asset Register'!Print_Area</vt:lpstr>
      <vt:lpstr>'Balance sheet'!Print_Area</vt:lpstr>
      <vt:lpstr>'Bank Rec'!Print_Area</vt:lpstr>
      <vt:lpstr>'Budget 2023 24'!Print_Area</vt:lpstr>
      <vt:lpstr>'Natwest Expenses'!Print_Area</vt:lpstr>
      <vt:lpstr>'Natwest Income'!Print_Area</vt:lpstr>
      <vt:lpstr>'Payments List'!Print_Area</vt:lpstr>
      <vt:lpstr>'Precept request form 2024 25'!Print_Area</vt:lpstr>
      <vt:lpstr>'Profit &amp; Loss'!Print_Area</vt:lpstr>
      <vt:lpstr>'Reimbursement claim'!Print_Area</vt:lpstr>
      <vt:lpstr>'Unity Trust Bank'!Print_Area</vt:lpstr>
      <vt:lpstr>'VAT Reclaim 1'!Print_Area</vt:lpstr>
      <vt:lpstr>'YTD Budget 2024 25'!Print_Area</vt:lpstr>
      <vt:lpstr>'Natwest Expenses'!Print_Titles</vt:lpstr>
      <vt:lpstr>'YTD Budget 2024 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dc:creator>
  <cp:lastModifiedBy>Kate Fullerton</cp:lastModifiedBy>
  <cp:lastPrinted>2025-12-10T16:00:41Z</cp:lastPrinted>
  <dcterms:created xsi:type="dcterms:W3CDTF">2018-03-21T10:08:50Z</dcterms:created>
  <dcterms:modified xsi:type="dcterms:W3CDTF">2026-02-20T10:04:30Z</dcterms:modified>
</cp:coreProperties>
</file>